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10" windowWidth="24240" windowHeight="11715"/>
  </bookViews>
  <sheets>
    <sheet name="Financial Model" sheetId="1" r:id="rId1"/>
    <sheet name="Class Time" sheetId="2" r:id="rId2"/>
    <sheet name="Ratio" sheetId="3" r:id="rId3"/>
  </sheets>
  <calcPr calcId="145621"/>
</workbook>
</file>

<file path=xl/calcChain.xml><?xml version="1.0" encoding="utf-8"?>
<calcChain xmlns="http://schemas.openxmlformats.org/spreadsheetml/2006/main">
  <c r="B3" i="1" l="1"/>
  <c r="B6" i="1" l="1"/>
  <c r="B38" i="1" s="1"/>
  <c r="B42" i="1" s="1"/>
  <c r="B43" i="1"/>
  <c r="H28" i="1" l="1"/>
  <c r="Q33" i="2"/>
  <c r="P33" i="2"/>
  <c r="L33" i="2"/>
  <c r="N33" i="2"/>
  <c r="J33" i="2"/>
  <c r="H33" i="2"/>
  <c r="F33" i="2"/>
  <c r="O33" i="2"/>
  <c r="M33" i="2"/>
  <c r="G33" i="2"/>
  <c r="K33" i="2"/>
  <c r="I33" i="2"/>
  <c r="E33" i="2"/>
  <c r="C33" i="2"/>
  <c r="D33" i="2"/>
  <c r="B33" i="2"/>
  <c r="R4" i="2"/>
  <c r="S4" i="2" s="1"/>
  <c r="T4" i="2" s="1"/>
  <c r="R5" i="2"/>
  <c r="S5" i="2" s="1"/>
  <c r="T5" i="2" s="1"/>
  <c r="R6" i="2"/>
  <c r="S6" i="2" s="1"/>
  <c r="T6" i="2" s="1"/>
  <c r="R8" i="2"/>
  <c r="S8" i="2" s="1"/>
  <c r="T8" i="2" s="1"/>
  <c r="R9" i="2"/>
  <c r="S9" i="2" s="1"/>
  <c r="T9" i="2" s="1"/>
  <c r="R10" i="2"/>
  <c r="S10" i="2" s="1"/>
  <c r="T10" i="2" s="1"/>
  <c r="R11" i="2"/>
  <c r="S11" i="2" s="1"/>
  <c r="T11" i="2" s="1"/>
  <c r="R12" i="2"/>
  <c r="S12" i="2" s="1"/>
  <c r="T12" i="2" s="1"/>
  <c r="R13" i="2"/>
  <c r="S13" i="2" s="1"/>
  <c r="T13" i="2" s="1"/>
  <c r="R14" i="2"/>
  <c r="S14" i="2" s="1"/>
  <c r="T14" i="2" s="1"/>
  <c r="R15" i="2"/>
  <c r="S15" i="2" s="1"/>
  <c r="T15" i="2" s="1"/>
  <c r="R16" i="2"/>
  <c r="S16" i="2" s="1"/>
  <c r="T16" i="2" s="1"/>
  <c r="R17" i="2"/>
  <c r="S17" i="2" s="1"/>
  <c r="T17" i="2" s="1"/>
  <c r="R19" i="2"/>
  <c r="S19" i="2" s="1"/>
  <c r="T19" i="2" s="1"/>
  <c r="R20" i="2"/>
  <c r="S20" i="2" s="1"/>
  <c r="T20" i="2" s="1"/>
  <c r="R21" i="2"/>
  <c r="S21" i="2" s="1"/>
  <c r="T21" i="2" s="1"/>
  <c r="R22" i="2"/>
  <c r="S22" i="2" s="1"/>
  <c r="T22" i="2" s="1"/>
  <c r="R23" i="2"/>
  <c r="S23" i="2" s="1"/>
  <c r="T23" i="2" s="1"/>
  <c r="R24" i="2"/>
  <c r="S24" i="2" s="1"/>
  <c r="T24" i="2" s="1"/>
  <c r="R25" i="2"/>
  <c r="S25" i="2" s="1"/>
  <c r="T25" i="2" s="1"/>
  <c r="R26" i="2"/>
  <c r="S26" i="2" s="1"/>
  <c r="T26" i="2" s="1"/>
  <c r="R27" i="2"/>
  <c r="S27" i="2" s="1"/>
  <c r="T27" i="2" s="1"/>
  <c r="R29" i="2"/>
  <c r="S29" i="2" s="1"/>
  <c r="T29" i="2" s="1"/>
  <c r="R30" i="2"/>
  <c r="S30" i="2" s="1"/>
  <c r="T30" i="2" s="1"/>
  <c r="R3" i="2"/>
  <c r="S3" i="2" s="1"/>
  <c r="T3" i="2" s="1"/>
  <c r="D16" i="1" l="1"/>
  <c r="B4" i="1" l="1"/>
  <c r="B19" i="1" l="1"/>
  <c r="D9" i="1"/>
  <c r="B3" i="3" s="1"/>
  <c r="B4" i="3" s="1"/>
  <c r="D6" i="1"/>
  <c r="H2" i="1" l="1"/>
  <c r="B5" i="1"/>
  <c r="B30" i="1" s="1"/>
  <c r="B31" i="1" s="1"/>
  <c r="H12" i="1" l="1"/>
  <c r="H9" i="1"/>
  <c r="B20" i="1"/>
  <c r="H10" i="1" s="1"/>
  <c r="H23" i="1" l="1"/>
  <c r="B21" i="1"/>
  <c r="H11" i="1" s="1"/>
  <c r="H24" i="1" s="1"/>
  <c r="B33" i="1"/>
  <c r="B35" i="1" s="1"/>
  <c r="D4" i="1" l="1"/>
  <c r="H3" i="1" s="1"/>
  <c r="D15" i="1" l="1"/>
  <c r="H4" i="1" s="1"/>
  <c r="H14" i="1" l="1"/>
  <c r="H13" i="1"/>
  <c r="H25" i="1" l="1"/>
  <c r="H26" i="1" s="1"/>
  <c r="H15" i="1"/>
  <c r="H27" i="1" l="1"/>
  <c r="H29" i="1" s="1"/>
</calcChain>
</file>

<file path=xl/comments1.xml><?xml version="1.0" encoding="utf-8"?>
<comments xmlns="http://schemas.openxmlformats.org/spreadsheetml/2006/main">
  <authors>
    <author>mcentee</author>
  </authors>
  <commentList>
    <comment ref="C15" authorId="0">
      <text>
        <r>
          <rPr>
            <b/>
            <sz val="9"/>
            <color indexed="81"/>
            <rFont val="Tahoma"/>
            <family val="2"/>
          </rPr>
          <t>Dean's assistant + an assistant for every 4 FTF + an assistant for every 56 classes  taught by an adjunct (calculated by assuming that an assistant can handle 10 modules at a time, each lasting an average of 2 weeks, at the same pace for two semesters)</t>
        </r>
      </text>
    </comment>
  </commentList>
</comments>
</file>

<file path=xl/sharedStrings.xml><?xml version="1.0" encoding="utf-8"?>
<sst xmlns="http://schemas.openxmlformats.org/spreadsheetml/2006/main" count="258" uniqueCount="185">
  <si>
    <t>Adjunct Salary/hr</t>
  </si>
  <si>
    <t>Required Externship Hours</t>
  </si>
  <si>
    <t>FT Faculty Hours Taught</t>
  </si>
  <si>
    <t>Adjunct Avg. Class Size</t>
  </si>
  <si>
    <t>Con Law</t>
  </si>
  <si>
    <t>Admin</t>
  </si>
  <si>
    <t>Contracts</t>
  </si>
  <si>
    <t>Crim Law</t>
  </si>
  <si>
    <t>Torts</t>
  </si>
  <si>
    <t>Civ Pro</t>
  </si>
  <si>
    <t>Req. 1L FT Faculty</t>
  </si>
  <si>
    <t>Running Tally of Total Classes</t>
  </si>
  <si>
    <t>Life of the Law</t>
  </si>
  <si>
    <t>FTF 1L Hours Taught</t>
  </si>
  <si>
    <t>FTF UL Hours Taught</t>
  </si>
  <si>
    <t>13 Weeks</t>
  </si>
  <si>
    <t>1 Week</t>
  </si>
  <si>
    <t>7 Weeks</t>
  </si>
  <si>
    <t>2 Weeks</t>
  </si>
  <si>
    <t>Prof. Respon.</t>
  </si>
  <si>
    <t>Curriculum</t>
  </si>
  <si>
    <t>Other Overhead</t>
  </si>
  <si>
    <t>Req. Credits</t>
  </si>
  <si>
    <t>Min/Credit</t>
  </si>
  <si>
    <t>Min. Req. to Graduate</t>
  </si>
  <si>
    <t>ABA Requirements</t>
  </si>
  <si>
    <t>Semester Class Weeks</t>
  </si>
  <si>
    <t>Questions</t>
  </si>
  <si>
    <t>What about student services? The dean? The dean should be paid more. I think the dean should not teach FT. Let them be true managers.</t>
  </si>
  <si>
    <t>How much of the FTF salary can be covered by endowed chairs? If all are, tuition goes down 4k/year</t>
  </si>
  <si>
    <t>Do we have a reason to pay FTF this much and have so many of them, other than making the proof more palatable?</t>
  </si>
  <si>
    <t>What about endowed scholarships? Can they be used to defray costs?</t>
  </si>
  <si>
    <t>What do 2L and 3L classes look like? Should obvoiusly vary by student needs; for example, a student who wants to do transactional work might want just an overview of evidence, whereas a wannabe litigator would want to dive much deeper and should have courses that do so</t>
  </si>
  <si>
    <r>
      <t>2L/3L</t>
    </r>
    <r>
      <rPr>
        <sz val="11"/>
        <color theme="1"/>
        <rFont val="Calibri"/>
        <family val="2"/>
        <scheme val="minor"/>
      </rPr>
      <t xml:space="preserve"> looks like you're taking 1 class on average every 2 weeks, with 13 50 minute classes each week. The other time would be spent doing work outside of the classroom for the class and PT work, either a volunteer or employee</t>
    </r>
  </si>
  <si>
    <t>Student Life</t>
  </si>
  <si>
    <t>12 Weeks</t>
  </si>
  <si>
    <t>Example 1L Fall</t>
  </si>
  <si>
    <t>Example 1L Spring</t>
  </si>
  <si>
    <t>First week 1L Fall</t>
  </si>
  <si>
    <t xml:space="preserve">      1L semesters will have a writing class in the middle; the beginning is for getting a feel for the basics of the course materials; the end is for final exam studying</t>
  </si>
  <si>
    <t>Non-Teaching Salaries</t>
  </si>
  <si>
    <t>What about a library? Maybe a law firm can donate its law library in exchange for the name.</t>
  </si>
  <si>
    <r>
      <rPr>
        <b/>
        <sz val="11"/>
        <color theme="1"/>
        <rFont val="Calibri"/>
        <family val="2"/>
        <scheme val="minor"/>
      </rPr>
      <t xml:space="preserve">1L </t>
    </r>
    <r>
      <rPr>
        <sz val="11"/>
        <color theme="1"/>
        <rFont val="Calibri"/>
        <family val="2"/>
        <scheme val="minor"/>
      </rPr>
      <t xml:space="preserve"> looks different by semester. First semester is a lighter load than the second, though it includes an intro week with intro classes. Each 1L Fall course will need to make this time up over the course of the semester with extra time</t>
    </r>
  </si>
  <si>
    <t>Bus. Entities</t>
  </si>
  <si>
    <t>Class 1</t>
  </si>
  <si>
    <t>Class 2</t>
  </si>
  <si>
    <t>Class 3</t>
  </si>
  <si>
    <t>Average Module</t>
  </si>
  <si>
    <t>Avg. Core Class Size (FTF)</t>
  </si>
  <si>
    <r>
      <t xml:space="preserve">Total Adjuncts </t>
    </r>
    <r>
      <rPr>
        <b/>
        <sz val="8"/>
        <color theme="1"/>
        <rFont val="Calibri"/>
        <family val="2"/>
        <scheme val="minor"/>
      </rPr>
      <t>(includes repeats)</t>
    </r>
  </si>
  <si>
    <t>Adjunct Salaries</t>
  </si>
  <si>
    <t>FTF Salaries</t>
  </si>
  <si>
    <t>Expenses Summary</t>
  </si>
  <si>
    <t>Module Coordinator Staff</t>
  </si>
  <si>
    <t>FT Faculty Compensation</t>
  </si>
  <si>
    <t>Dean Compensation</t>
  </si>
  <si>
    <t>Assistants Compensation</t>
  </si>
  <si>
    <t>Required Assistants</t>
  </si>
  <si>
    <t>Credits</t>
  </si>
  <si>
    <t>Externship Coordinator Staff</t>
  </si>
  <si>
    <t>Could charge practicing attorneys for CLE credits to cover costs of adjuncts</t>
  </si>
  <si>
    <t>Other Expenses</t>
  </si>
  <si>
    <t>What about clinics?</t>
  </si>
  <si>
    <t>Students</t>
  </si>
  <si>
    <t>FTF</t>
  </si>
  <si>
    <t>Total Counted F</t>
  </si>
  <si>
    <t>S:F Ratio</t>
  </si>
  <si>
    <t>Endowment/Sponsorship/
Non-JD Program Income</t>
  </si>
  <si>
    <t>Income Summary</t>
  </si>
  <si>
    <t>JD Costs</t>
  </si>
  <si>
    <t>Student Contribution</t>
  </si>
  <si>
    <t>Externship Fee</t>
  </si>
  <si>
    <t>Summer Job</t>
  </si>
  <si>
    <t>Entry Level Hours</t>
  </si>
  <si>
    <t>Upper Level Hours</t>
  </si>
  <si>
    <t>EL Hours/Week</t>
  </si>
  <si>
    <t>EL Weeks</t>
  </si>
  <si>
    <t>EL Days/Week</t>
  </si>
  <si>
    <t>Time in School</t>
  </si>
  <si>
    <t>EL Hours/Day</t>
  </si>
  <si>
    <t>UL Weeks</t>
  </si>
  <si>
    <t>Externship</t>
  </si>
  <si>
    <t>Externship Weeks</t>
  </si>
  <si>
    <t>Second Summer Job</t>
  </si>
  <si>
    <t>First Summer Job</t>
  </si>
  <si>
    <t>Upper Level Cost</t>
  </si>
  <si>
    <t>Enry Level Core</t>
  </si>
  <si>
    <t>Entry Level Other Cost</t>
  </si>
  <si>
    <t>Traditional Semesters</t>
  </si>
  <si>
    <t>Estimated Grad Time (Years)</t>
  </si>
  <si>
    <t>Avg. Class Size</t>
  </si>
  <si>
    <t>EL Exam Period</t>
  </si>
  <si>
    <t>June #1</t>
  </si>
  <si>
    <t>June #2</t>
  </si>
  <si>
    <t>June #3</t>
  </si>
  <si>
    <t>June #4</t>
  </si>
  <si>
    <t>July #1</t>
  </si>
  <si>
    <t>July #2</t>
  </si>
  <si>
    <t>July #3</t>
  </si>
  <si>
    <t>July #4</t>
  </si>
  <si>
    <t>Aug #1</t>
  </si>
  <si>
    <t>Aug #2</t>
  </si>
  <si>
    <t>Aug #3</t>
  </si>
  <si>
    <t>Aug #4</t>
  </si>
  <si>
    <t>Sept #1</t>
  </si>
  <si>
    <t>Sept #2</t>
  </si>
  <si>
    <t>Sept #3</t>
  </si>
  <si>
    <t>Sept #4</t>
  </si>
  <si>
    <t>Oct #1</t>
  </si>
  <si>
    <t>Oct #2</t>
  </si>
  <si>
    <t>Oct #3</t>
  </si>
  <si>
    <t>Oct #4</t>
  </si>
  <si>
    <t>Nov #1</t>
  </si>
  <si>
    <t>Nov #2</t>
  </si>
  <si>
    <t>Nov #3</t>
  </si>
  <si>
    <t>Nov #4</t>
  </si>
  <si>
    <t>Dec #1</t>
  </si>
  <si>
    <t>Dec #2</t>
  </si>
  <si>
    <t>Dec #3</t>
  </si>
  <si>
    <t>Dec #4</t>
  </si>
  <si>
    <t>Lec.</t>
  </si>
  <si>
    <t>Lab</t>
  </si>
  <si>
    <t>Intro</t>
  </si>
  <si>
    <t>LoL</t>
  </si>
  <si>
    <t>PR</t>
  </si>
  <si>
    <t>Class 4</t>
  </si>
  <si>
    <t>Class 5</t>
  </si>
  <si>
    <t>Class 6</t>
  </si>
  <si>
    <t>Class 7</t>
  </si>
  <si>
    <t>Class Minutes</t>
  </si>
  <si>
    <t>July/Aug</t>
  </si>
  <si>
    <t>Oct/Nov</t>
  </si>
  <si>
    <t>Hours / Week</t>
  </si>
  <si>
    <t>Difference</t>
  </si>
  <si>
    <t>Norm:</t>
  </si>
  <si>
    <t>Minutes</t>
  </si>
  <si>
    <t>Jan #1</t>
  </si>
  <si>
    <t>Jan #2</t>
  </si>
  <si>
    <t>Jan #3</t>
  </si>
  <si>
    <t>Jan #4</t>
  </si>
  <si>
    <t>Jan #5</t>
  </si>
  <si>
    <t>Feb #1</t>
  </si>
  <si>
    <t>Feb #2</t>
  </si>
  <si>
    <t>Feb #3</t>
  </si>
  <si>
    <t>Feb #4</t>
  </si>
  <si>
    <t>Mar #1</t>
  </si>
  <si>
    <t>Mar #2</t>
  </si>
  <si>
    <t>Mar #3</t>
  </si>
  <si>
    <t>Mar #4</t>
  </si>
  <si>
    <t>Apr #1</t>
  </si>
  <si>
    <t>Apr #2</t>
  </si>
  <si>
    <t>Apr #3</t>
  </si>
  <si>
    <t>Apr #4</t>
  </si>
  <si>
    <t>Apr/May</t>
  </si>
  <si>
    <t>May #1</t>
  </si>
  <si>
    <t>May #2</t>
  </si>
  <si>
    <t>May #3</t>
  </si>
  <si>
    <t>May #4</t>
  </si>
  <si>
    <t>UL Classes</t>
  </si>
  <si>
    <t>Bar Exam</t>
  </si>
  <si>
    <t>Entry Level Core Curriculum</t>
  </si>
  <si>
    <t>Entry Level Writing Modules</t>
  </si>
  <si>
    <t>Entry level Intro</t>
  </si>
  <si>
    <t>Upper Level Modules</t>
  </si>
  <si>
    <t>Payroll Tax on FTF</t>
  </si>
  <si>
    <t>Payroll Tax on Others</t>
  </si>
  <si>
    <t>Estimated EL Time (Years)</t>
  </si>
  <si>
    <t>Total Expenses</t>
  </si>
  <si>
    <t>Total Tuition  for Entry Level</t>
  </si>
  <si>
    <t>Total Tuition  for Upper Level</t>
  </si>
  <si>
    <t>Hourly Tuition</t>
  </si>
  <si>
    <t>Total Tuition</t>
  </si>
  <si>
    <t>Structure</t>
  </si>
  <si>
    <t>Yearly COL</t>
  </si>
  <si>
    <t>Average Living Expenses</t>
  </si>
  <si>
    <t>Non-Stafford Loan Disbursement</t>
  </si>
  <si>
    <t>EL Core Credits</t>
  </si>
  <si>
    <t>EL Writing/Intro Credits</t>
  </si>
  <si>
    <t>UL Credits</t>
  </si>
  <si>
    <t>EL Core</t>
  </si>
  <si>
    <t>EL Writing/Intro</t>
  </si>
  <si>
    <t>UL</t>
  </si>
  <si>
    <t>Share of Overhead Over Duration</t>
  </si>
  <si>
    <t>Total Weeks after EL</t>
  </si>
  <si>
    <t>UL Average Hours/Week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</si>
</sst>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quot;$&quot;#,##0"/>
    <numFmt numFmtId="165" formatCode="0.0"/>
    <numFmt numFmtId="166" formatCode="&quot;$&quot;#,##0.00"/>
  </numFmts>
  <fonts count="12" x14ac:knownFonts="1">
    <font>
      <sz val="11"/>
      <color theme="1"/>
      <name val="Calibri"/>
      <family val="2"/>
      <scheme val="minor"/>
    </font>
    <font>
      <b/>
      <sz val="11"/>
      <color theme="1"/>
      <name val="Calibri"/>
      <family val="2"/>
      <scheme val="minor"/>
    </font>
    <font>
      <b/>
      <sz val="11"/>
      <color theme="2" tint="-9.9978637043366805E-2"/>
      <name val="Calibri"/>
      <family val="2"/>
      <scheme val="minor"/>
    </font>
    <font>
      <b/>
      <sz val="9"/>
      <color theme="1"/>
      <name val="Calibri"/>
      <family val="2"/>
      <scheme val="minor"/>
    </font>
    <font>
      <b/>
      <sz val="8"/>
      <color theme="1"/>
      <name val="Calibri"/>
      <family val="2"/>
      <scheme val="minor"/>
    </font>
    <font>
      <b/>
      <sz val="9"/>
      <color indexed="81"/>
      <name val="Tahoma"/>
      <family val="2"/>
    </font>
    <font>
      <b/>
      <sz val="10"/>
      <color theme="1"/>
      <name val="Calibri"/>
      <family val="2"/>
      <scheme val="minor"/>
    </font>
    <font>
      <sz val="8"/>
      <color theme="1"/>
      <name val="Calibri"/>
      <family val="2"/>
      <scheme val="minor"/>
    </font>
    <font>
      <sz val="9"/>
      <color theme="1"/>
      <name val="Calibri"/>
      <family val="2"/>
      <scheme val="minor"/>
    </font>
    <font>
      <sz val="9"/>
      <color rgb="FFFFFF00"/>
      <name val="Calibri"/>
      <family val="2"/>
      <scheme val="minor"/>
    </font>
    <font>
      <b/>
      <sz val="9"/>
      <color rgb="FFFFFF00"/>
      <name val="Calibri"/>
      <family val="2"/>
      <scheme val="minor"/>
    </font>
    <font>
      <sz val="11"/>
      <color rgb="FFFFFF00"/>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1" tint="0.14999847407452621"/>
        <bgColor indexed="64"/>
      </patternFill>
    </fill>
    <fill>
      <patternFill patternType="solid">
        <fgColor theme="6" tint="0.59999389629810485"/>
        <bgColor indexed="64"/>
      </patternFill>
    </fill>
    <fill>
      <patternFill patternType="solid">
        <fgColor theme="1" tint="0.249977111117893"/>
        <bgColor indexed="64"/>
      </patternFill>
    </fill>
  </fills>
  <borders count="1">
    <border>
      <left/>
      <right/>
      <top/>
      <bottom/>
      <diagonal/>
    </border>
  </borders>
  <cellStyleXfs count="1">
    <xf numFmtId="0" fontId="0" fillId="0" borderId="0"/>
  </cellStyleXfs>
  <cellXfs count="50">
    <xf numFmtId="0" fontId="0" fillId="0" borderId="0" xfId="0"/>
    <xf numFmtId="0" fontId="1" fillId="0" borderId="0" xfId="0" applyFont="1"/>
    <xf numFmtId="164" fontId="0" fillId="0" borderId="0" xfId="0" applyNumberFormat="1"/>
    <xf numFmtId="0" fontId="0" fillId="0" borderId="0" xfId="0" applyAlignment="1">
      <alignment horizontal="right"/>
    </xf>
    <xf numFmtId="0" fontId="1" fillId="0" borderId="0" xfId="0" applyFont="1" applyAlignment="1">
      <alignment horizontal="right"/>
    </xf>
    <xf numFmtId="0" fontId="0" fillId="3" borderId="0" xfId="0" applyFill="1"/>
    <xf numFmtId="164" fontId="0" fillId="3" borderId="0" xfId="0" applyNumberFormat="1" applyFill="1"/>
    <xf numFmtId="0" fontId="3" fillId="0" borderId="0" xfId="0" applyFont="1"/>
    <xf numFmtId="0" fontId="0" fillId="0" borderId="0" xfId="0" applyAlignment="1">
      <alignment horizontal="left"/>
    </xf>
    <xf numFmtId="0" fontId="0" fillId="3" borderId="0" xfId="0" applyFill="1" applyAlignment="1">
      <alignment horizontal="right"/>
    </xf>
    <xf numFmtId="164" fontId="0" fillId="0" borderId="0" xfId="0" applyNumberFormat="1" applyAlignment="1">
      <alignment horizontal="right"/>
    </xf>
    <xf numFmtId="0" fontId="2" fillId="2" borderId="0" xfId="0" applyFont="1" applyFill="1" applyAlignment="1">
      <alignment horizontal="left"/>
    </xf>
    <xf numFmtId="0" fontId="1" fillId="0" borderId="0" xfId="0" applyFont="1" applyAlignment="1">
      <alignment horizontal="left"/>
    </xf>
    <xf numFmtId="0" fontId="0" fillId="0" borderId="0" xfId="0" applyFill="1"/>
    <xf numFmtId="0" fontId="1" fillId="0" borderId="0" xfId="0" applyFont="1" applyAlignment="1">
      <alignment horizontal="right" vertical="center"/>
    </xf>
    <xf numFmtId="0" fontId="0" fillId="3" borderId="0" xfId="0" applyFill="1" applyAlignment="1">
      <alignment vertical="center"/>
    </xf>
    <xf numFmtId="164" fontId="0" fillId="0" borderId="0" xfId="0" applyNumberFormat="1" applyFill="1"/>
    <xf numFmtId="6" fontId="0" fillId="0" borderId="0" xfId="0" applyNumberFormat="1" applyAlignment="1">
      <alignment horizontal="right"/>
    </xf>
    <xf numFmtId="0" fontId="3" fillId="0" borderId="0" xfId="0" applyFont="1" applyAlignment="1">
      <alignment horizontal="right"/>
    </xf>
    <xf numFmtId="0" fontId="2" fillId="2" borderId="0" xfId="0" applyFont="1" applyFill="1" applyAlignment="1">
      <alignment horizontal="left"/>
    </xf>
    <xf numFmtId="165" fontId="0" fillId="0" borderId="0" xfId="0" applyNumberFormat="1"/>
    <xf numFmtId="0" fontId="0" fillId="4" borderId="0" xfId="0" applyFill="1"/>
    <xf numFmtId="0" fontId="7" fillId="0" borderId="0" xfId="0" applyFont="1"/>
    <xf numFmtId="0" fontId="7" fillId="6" borderId="0" xfId="0" applyFont="1" applyFill="1"/>
    <xf numFmtId="0" fontId="7" fillId="4" borderId="0" xfId="0" applyFont="1" applyFill="1"/>
    <xf numFmtId="0" fontId="7" fillId="0" borderId="0" xfId="0" applyNumberFormat="1" applyFont="1"/>
    <xf numFmtId="0" fontId="7" fillId="9" borderId="0" xfId="0" applyFont="1" applyFill="1"/>
    <xf numFmtId="0" fontId="7" fillId="11" borderId="0" xfId="0" applyFont="1" applyFill="1"/>
    <xf numFmtId="0" fontId="8" fillId="0" borderId="0" xfId="0" applyFont="1"/>
    <xf numFmtId="165" fontId="8" fillId="0" borderId="0" xfId="0" applyNumberFormat="1" applyFont="1"/>
    <xf numFmtId="0" fontId="8" fillId="9" borderId="0" xfId="0" applyFont="1" applyFill="1"/>
    <xf numFmtId="0" fontId="8" fillId="5" borderId="0" xfId="0" applyFont="1" applyFill="1"/>
    <xf numFmtId="0" fontId="8" fillId="0" borderId="0" xfId="0" applyFont="1" applyAlignment="1">
      <alignment horizontal="center"/>
    </xf>
    <xf numFmtId="0" fontId="8" fillId="4" borderId="0" xfId="0" applyFont="1" applyFill="1" applyAlignment="1">
      <alignment horizontal="center"/>
    </xf>
    <xf numFmtId="0" fontId="9" fillId="12" borderId="0" xfId="0" applyFont="1" applyFill="1" applyAlignment="1">
      <alignment horizontal="center"/>
    </xf>
    <xf numFmtId="0" fontId="9" fillId="7" borderId="0" xfId="0" applyFont="1" applyFill="1" applyAlignment="1">
      <alignment horizontal="center"/>
    </xf>
    <xf numFmtId="164" fontId="0" fillId="8" borderId="0" xfId="0" applyNumberFormat="1" applyFill="1"/>
    <xf numFmtId="0" fontId="1" fillId="8" borderId="0" xfId="0" applyFont="1" applyFill="1" applyAlignment="1">
      <alignment horizontal="right"/>
    </xf>
    <xf numFmtId="0" fontId="6" fillId="0" borderId="0" xfId="0" applyFont="1" applyAlignment="1">
      <alignment horizontal="right"/>
    </xf>
    <xf numFmtId="164" fontId="0" fillId="3" borderId="0" xfId="0" applyNumberFormat="1" applyFill="1" applyAlignment="1">
      <alignment horizontal="right"/>
    </xf>
    <xf numFmtId="6" fontId="0" fillId="0" borderId="0" xfId="0" applyNumberFormat="1" applyFill="1" applyAlignment="1">
      <alignment horizontal="right"/>
    </xf>
    <xf numFmtId="164" fontId="11" fillId="4" borderId="0" xfId="0" applyNumberFormat="1" applyFont="1" applyFill="1"/>
    <xf numFmtId="0" fontId="0" fillId="0" borderId="0" xfId="0" applyAlignment="1">
      <alignment horizontal="center"/>
    </xf>
    <xf numFmtId="0" fontId="1" fillId="0" borderId="0" xfId="0" applyFont="1" applyAlignment="1">
      <alignment horizontal="left"/>
    </xf>
    <xf numFmtId="0" fontId="2" fillId="2" borderId="0" xfId="0" applyFont="1" applyFill="1" applyAlignment="1">
      <alignment horizontal="left"/>
    </xf>
    <xf numFmtId="0" fontId="3" fillId="0" borderId="0" xfId="0" applyFont="1" applyAlignment="1">
      <alignment horizontal="right" vertical="top" wrapText="1"/>
    </xf>
    <xf numFmtId="0" fontId="1" fillId="0" borderId="0" xfId="0" applyFont="1" applyAlignment="1">
      <alignment horizontal="center"/>
    </xf>
    <xf numFmtId="0" fontId="1" fillId="5" borderId="0" xfId="0" applyFont="1" applyFill="1" applyAlignment="1">
      <alignment horizontal="center"/>
    </xf>
    <xf numFmtId="0" fontId="10" fillId="10" borderId="0" xfId="0" applyFont="1" applyFill="1" applyAlignment="1">
      <alignment horizontal="center" wrapText="1"/>
    </xf>
    <xf numFmtId="166" fontId="0" fillId="0" borderId="0" xfId="0" applyNumberFormat="1"/>
  </cellXfs>
  <cellStyles count="1">
    <cellStyle name="Normal" xfId="0" builtinId="0"/>
  </cellStyles>
  <dxfs count="17">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tabSelected="1" workbookViewId="0">
      <selection activeCell="F30" sqref="F30"/>
    </sheetView>
  </sheetViews>
  <sheetFormatPr defaultRowHeight="15" x14ac:dyDescent="0.25"/>
  <cols>
    <col min="1" max="1" width="22.140625" customWidth="1"/>
    <col min="2" max="2" width="7.42578125" customWidth="1"/>
    <col min="3" max="3" width="28.140625" customWidth="1"/>
    <col min="4" max="4" width="11.85546875" bestFit="1" customWidth="1"/>
    <col min="7" max="7" width="23" customWidth="1"/>
    <col min="8" max="8" width="13.85546875" bestFit="1" customWidth="1"/>
    <col min="9" max="9" width="12.140625" bestFit="1" customWidth="1"/>
    <col min="11" max="11" width="10.7109375" bestFit="1" customWidth="1"/>
    <col min="12" max="12" width="15.7109375" bestFit="1" customWidth="1"/>
    <col min="14" max="14" width="10.42578125" bestFit="1" customWidth="1"/>
    <col min="15" max="15" width="5" customWidth="1"/>
    <col min="16" max="16" width="20.85546875" bestFit="1" customWidth="1"/>
  </cols>
  <sheetData>
    <row r="1" spans="1:16" x14ac:dyDescent="0.25">
      <c r="A1" s="44" t="s">
        <v>172</v>
      </c>
      <c r="B1" s="44"/>
      <c r="C1" s="44"/>
      <c r="D1" s="44"/>
      <c r="G1" s="44" t="s">
        <v>52</v>
      </c>
      <c r="H1" s="44"/>
      <c r="K1" s="44" t="s">
        <v>20</v>
      </c>
      <c r="L1" s="44"/>
    </row>
    <row r="2" spans="1:16" x14ac:dyDescent="0.25">
      <c r="A2" s="1" t="s">
        <v>90</v>
      </c>
      <c r="B2" s="5">
        <v>200</v>
      </c>
      <c r="C2" s="1" t="s">
        <v>1</v>
      </c>
      <c r="D2" s="5">
        <v>6</v>
      </c>
      <c r="G2" s="1" t="s">
        <v>51</v>
      </c>
      <c r="H2" s="2">
        <f>D9*D5</f>
        <v>2100000</v>
      </c>
      <c r="K2" s="43" t="s">
        <v>160</v>
      </c>
      <c r="L2" s="43"/>
      <c r="M2" t="s">
        <v>58</v>
      </c>
      <c r="N2" s="42" t="s">
        <v>88</v>
      </c>
      <c r="O2" s="42"/>
      <c r="P2" s="42"/>
    </row>
    <row r="3" spans="1:16" x14ac:dyDescent="0.25">
      <c r="A3" s="1" t="s">
        <v>22</v>
      </c>
      <c r="B3">
        <f>ROUNDUP(B27/B26,0)</f>
        <v>83</v>
      </c>
      <c r="C3" s="1" t="s">
        <v>0</v>
      </c>
      <c r="D3" s="6">
        <v>2500</v>
      </c>
      <c r="G3" s="1" t="s">
        <v>50</v>
      </c>
      <c r="H3" s="2">
        <f>D4*D3*M23</f>
        <v>1705000</v>
      </c>
      <c r="L3" t="s">
        <v>9</v>
      </c>
      <c r="M3" s="5">
        <v>3</v>
      </c>
      <c r="N3" t="s">
        <v>35</v>
      </c>
      <c r="O3" s="42" t="s">
        <v>36</v>
      </c>
      <c r="P3" s="42"/>
    </row>
    <row r="4" spans="1:16" x14ac:dyDescent="0.25">
      <c r="A4" s="1" t="s">
        <v>176</v>
      </c>
      <c r="B4">
        <f>SUM(M3:M9)</f>
        <v>21</v>
      </c>
      <c r="C4" s="4" t="s">
        <v>49</v>
      </c>
      <c r="D4">
        <f>ROUNDUP(SUM(B20:B22)-(D9*D8)/M23,0)</f>
        <v>341</v>
      </c>
      <c r="G4" s="1" t="s">
        <v>40</v>
      </c>
      <c r="H4" s="16">
        <f>SUM(D12+D13+(D14*D15)+D16)</f>
        <v>1078000</v>
      </c>
      <c r="L4" t="s">
        <v>8</v>
      </c>
      <c r="M4" s="5">
        <v>3</v>
      </c>
      <c r="N4" t="s">
        <v>35</v>
      </c>
      <c r="O4" s="42"/>
      <c r="P4" s="42"/>
    </row>
    <row r="5" spans="1:16" x14ac:dyDescent="0.25">
      <c r="A5" s="7" t="s">
        <v>177</v>
      </c>
      <c r="B5">
        <f>SUM(M12:M18,M20:M21)</f>
        <v>9</v>
      </c>
      <c r="C5" s="1" t="s">
        <v>54</v>
      </c>
      <c r="D5" s="6">
        <v>150000</v>
      </c>
      <c r="G5" s="1" t="s">
        <v>21</v>
      </c>
      <c r="H5" s="6">
        <v>3000000</v>
      </c>
      <c r="L5" t="s">
        <v>6</v>
      </c>
      <c r="M5" s="5">
        <v>3</v>
      </c>
      <c r="N5" t="s">
        <v>35</v>
      </c>
      <c r="O5" s="42"/>
      <c r="P5" s="42"/>
    </row>
    <row r="6" spans="1:16" x14ac:dyDescent="0.25">
      <c r="A6" s="1" t="s">
        <v>178</v>
      </c>
      <c r="B6" s="13">
        <f>B3-B4-B5-D2</f>
        <v>47</v>
      </c>
      <c r="C6" s="1" t="s">
        <v>2</v>
      </c>
      <c r="D6">
        <f>SUM(D7:D8)</f>
        <v>12</v>
      </c>
      <c r="L6" t="s">
        <v>7</v>
      </c>
      <c r="M6" s="5">
        <v>3</v>
      </c>
      <c r="N6" t="s">
        <v>15</v>
      </c>
      <c r="O6" s="42" t="s">
        <v>37</v>
      </c>
      <c r="P6" s="42"/>
    </row>
    <row r="7" spans="1:16" x14ac:dyDescent="0.25">
      <c r="A7" s="1" t="s">
        <v>71</v>
      </c>
      <c r="B7" s="40">
        <v>500</v>
      </c>
      <c r="C7" s="4" t="s">
        <v>13</v>
      </c>
      <c r="D7" s="5">
        <v>6</v>
      </c>
      <c r="L7" t="s">
        <v>43</v>
      </c>
      <c r="M7" s="5">
        <v>3</v>
      </c>
      <c r="N7" t="s">
        <v>15</v>
      </c>
      <c r="O7" s="42"/>
      <c r="P7" s="42"/>
    </row>
    <row r="8" spans="1:16" x14ac:dyDescent="0.25">
      <c r="A8" s="7" t="s">
        <v>166</v>
      </c>
      <c r="B8">
        <v>0.5</v>
      </c>
      <c r="C8" s="14" t="s">
        <v>14</v>
      </c>
      <c r="D8" s="15">
        <v>6</v>
      </c>
      <c r="G8" s="44" t="s">
        <v>69</v>
      </c>
      <c r="H8" s="44"/>
      <c r="L8" t="s">
        <v>5</v>
      </c>
      <c r="M8" s="5">
        <v>3</v>
      </c>
      <c r="N8" t="s">
        <v>15</v>
      </c>
      <c r="O8" s="42"/>
      <c r="P8" s="42"/>
    </row>
    <row r="9" spans="1:16" x14ac:dyDescent="0.25">
      <c r="A9" s="7" t="s">
        <v>89</v>
      </c>
      <c r="B9">
        <v>2</v>
      </c>
      <c r="C9" s="4" t="s">
        <v>10</v>
      </c>
      <c r="D9">
        <f>ROUND(((B2/D10)*B4)/D7,0)</f>
        <v>14</v>
      </c>
      <c r="G9" s="1" t="s">
        <v>86</v>
      </c>
      <c r="H9" s="2">
        <f>H2</f>
        <v>2100000</v>
      </c>
      <c r="I9" s="2"/>
      <c r="L9" t="s">
        <v>4</v>
      </c>
      <c r="M9" s="5">
        <v>3</v>
      </c>
      <c r="N9" t="s">
        <v>15</v>
      </c>
      <c r="O9" s="42"/>
      <c r="P9" s="42"/>
    </row>
    <row r="10" spans="1:16" x14ac:dyDescent="0.25">
      <c r="C10" s="1" t="s">
        <v>48</v>
      </c>
      <c r="D10" s="5">
        <v>50</v>
      </c>
      <c r="G10" s="1" t="s">
        <v>87</v>
      </c>
      <c r="H10" s="2">
        <f>B20*D3</f>
        <v>265000</v>
      </c>
      <c r="I10" s="2"/>
    </row>
    <row r="11" spans="1:16" x14ac:dyDescent="0.25">
      <c r="C11" s="1" t="s">
        <v>3</v>
      </c>
      <c r="D11" s="5">
        <v>17</v>
      </c>
      <c r="G11" s="1" t="s">
        <v>85</v>
      </c>
      <c r="H11" s="2">
        <f>(B21-((D8/M23)*D9))*M23*D3</f>
        <v>1175000</v>
      </c>
      <c r="I11" s="2"/>
      <c r="K11" s="43" t="s">
        <v>161</v>
      </c>
      <c r="L11" s="43"/>
    </row>
    <row r="12" spans="1:16" x14ac:dyDescent="0.25">
      <c r="C12" s="12" t="s">
        <v>55</v>
      </c>
      <c r="D12" s="6">
        <v>200000</v>
      </c>
      <c r="G12" s="1" t="s">
        <v>164</v>
      </c>
      <c r="H12" s="2">
        <f>(H2)*(0.153/2)</f>
        <v>160650</v>
      </c>
      <c r="I12" s="2"/>
      <c r="L12" t="s">
        <v>9</v>
      </c>
      <c r="M12" s="5">
        <v>1</v>
      </c>
      <c r="N12" t="s">
        <v>17</v>
      </c>
      <c r="O12" s="42" t="s">
        <v>36</v>
      </c>
      <c r="P12" s="42"/>
    </row>
    <row r="13" spans="1:16" x14ac:dyDescent="0.25">
      <c r="C13" s="12" t="s">
        <v>53</v>
      </c>
      <c r="D13" s="6">
        <v>250000</v>
      </c>
      <c r="G13" s="1" t="s">
        <v>165</v>
      </c>
      <c r="H13" s="2">
        <f>(H4)*(0.153/2)</f>
        <v>82467</v>
      </c>
      <c r="I13" s="2"/>
      <c r="L13" t="s">
        <v>8</v>
      </c>
      <c r="M13" s="5">
        <v>1</v>
      </c>
      <c r="N13" t="s">
        <v>17</v>
      </c>
      <c r="O13" s="42"/>
      <c r="P13" s="42"/>
    </row>
    <row r="14" spans="1:16" x14ac:dyDescent="0.25">
      <c r="C14" s="1" t="s">
        <v>56</v>
      </c>
      <c r="D14" s="6">
        <v>48000</v>
      </c>
      <c r="G14" s="1" t="s">
        <v>61</v>
      </c>
      <c r="H14" s="2">
        <f>H4+H5</f>
        <v>4078000</v>
      </c>
      <c r="I14" s="2"/>
      <c r="L14" t="s">
        <v>6</v>
      </c>
      <c r="M14" s="5">
        <v>1</v>
      </c>
      <c r="N14" t="s">
        <v>17</v>
      </c>
      <c r="O14" s="42"/>
      <c r="P14" s="42"/>
    </row>
    <row r="15" spans="1:16" x14ac:dyDescent="0.25">
      <c r="C15" s="4" t="s">
        <v>57</v>
      </c>
      <c r="D15" s="13">
        <f>1+(ROUND(D9/4,0))+ROUND(D4/(B25*2*M23),0)</f>
        <v>11</v>
      </c>
      <c r="G15" s="37" t="s">
        <v>167</v>
      </c>
      <c r="H15" s="36">
        <f>SUM(H9:H14)</f>
        <v>7861117</v>
      </c>
      <c r="L15" t="s">
        <v>7</v>
      </c>
      <c r="M15" s="5">
        <v>1</v>
      </c>
      <c r="N15" t="s">
        <v>17</v>
      </c>
      <c r="O15" s="42" t="s">
        <v>37</v>
      </c>
      <c r="P15" s="42"/>
    </row>
    <row r="16" spans="1:16" x14ac:dyDescent="0.25">
      <c r="C16" s="1" t="s">
        <v>59</v>
      </c>
      <c r="D16" s="17">
        <f>B7*B2</f>
        <v>100000</v>
      </c>
      <c r="L16" t="s">
        <v>43</v>
      </c>
      <c r="M16" s="5">
        <v>1</v>
      </c>
      <c r="N16" t="s">
        <v>17</v>
      </c>
      <c r="O16" s="42"/>
      <c r="P16" s="42"/>
    </row>
    <row r="17" spans="1:16" x14ac:dyDescent="0.25">
      <c r="I17" s="2"/>
      <c r="L17" t="s">
        <v>5</v>
      </c>
      <c r="M17" s="5">
        <v>1</v>
      </c>
      <c r="N17" t="s">
        <v>17</v>
      </c>
      <c r="O17" s="42"/>
      <c r="P17" s="42"/>
    </row>
    <row r="18" spans="1:16" x14ac:dyDescent="0.25">
      <c r="A18" s="11" t="s">
        <v>11</v>
      </c>
      <c r="B18" s="11"/>
      <c r="C18" s="11"/>
      <c r="G18" s="44" t="s">
        <v>68</v>
      </c>
      <c r="H18" s="44"/>
      <c r="L18" t="s">
        <v>4</v>
      </c>
      <c r="M18" s="5">
        <v>1</v>
      </c>
      <c r="N18" t="s">
        <v>17</v>
      </c>
      <c r="O18" s="42"/>
      <c r="P18" s="42"/>
    </row>
    <row r="19" spans="1:16" x14ac:dyDescent="0.25">
      <c r="A19" s="4" t="s">
        <v>179</v>
      </c>
      <c r="B19">
        <f>ROUNDUP(((B2/D10)*B4)/AVERAGE(M4:M9),0)</f>
        <v>28</v>
      </c>
      <c r="G19" s="45" t="s">
        <v>67</v>
      </c>
      <c r="H19" s="6">
        <v>0</v>
      </c>
      <c r="K19" s="43" t="s">
        <v>162</v>
      </c>
      <c r="L19" s="43"/>
    </row>
    <row r="20" spans="1:16" x14ac:dyDescent="0.25">
      <c r="A20" s="4" t="s">
        <v>180</v>
      </c>
      <c r="B20">
        <f>ROUNDUP((((B2/D11)*(B5))),0)</f>
        <v>106</v>
      </c>
      <c r="G20" s="45"/>
      <c r="L20" t="s">
        <v>12</v>
      </c>
      <c r="M20" s="5">
        <v>1</v>
      </c>
      <c r="N20" t="s">
        <v>16</v>
      </c>
      <c r="O20" s="42" t="s">
        <v>38</v>
      </c>
      <c r="P20" s="42"/>
    </row>
    <row r="21" spans="1:16" x14ac:dyDescent="0.25">
      <c r="A21" s="4" t="s">
        <v>181</v>
      </c>
      <c r="B21">
        <f>ROUNDUP(((B6*B2)/D11)/M23,0)</f>
        <v>277</v>
      </c>
      <c r="L21" t="s">
        <v>19</v>
      </c>
      <c r="M21" s="5">
        <v>1</v>
      </c>
      <c r="N21" t="s">
        <v>16</v>
      </c>
      <c r="O21" s="42"/>
      <c r="P21" s="42"/>
    </row>
    <row r="22" spans="1:16" x14ac:dyDescent="0.25">
      <c r="A22" s="4"/>
      <c r="G22" s="44" t="s">
        <v>70</v>
      </c>
      <c r="H22" s="44"/>
      <c r="K22" s="43" t="s">
        <v>163</v>
      </c>
      <c r="L22" s="43"/>
    </row>
    <row r="23" spans="1:16" x14ac:dyDescent="0.25">
      <c r="G23" s="38" t="s">
        <v>168</v>
      </c>
      <c r="H23" s="10">
        <f>SUM(H9:H10)/B2</f>
        <v>11825</v>
      </c>
      <c r="L23" t="s">
        <v>47</v>
      </c>
      <c r="M23" s="5">
        <v>2</v>
      </c>
      <c r="N23" t="s">
        <v>18</v>
      </c>
    </row>
    <row r="24" spans="1:16" x14ac:dyDescent="0.25">
      <c r="A24" s="11" t="s">
        <v>25</v>
      </c>
      <c r="B24" s="11"/>
      <c r="C24" s="11"/>
      <c r="G24" s="38" t="s">
        <v>169</v>
      </c>
      <c r="H24" s="2">
        <f>H11/B2</f>
        <v>5875</v>
      </c>
    </row>
    <row r="25" spans="1:16" x14ac:dyDescent="0.25">
      <c r="A25" s="4" t="s">
        <v>26</v>
      </c>
      <c r="B25" s="3">
        <v>14</v>
      </c>
      <c r="C25" s="8"/>
      <c r="G25" s="38" t="s">
        <v>182</v>
      </c>
      <c r="H25" s="41">
        <f>((H12+H13+H14-H19)*(1/B9))/B2</f>
        <v>10802.7925</v>
      </c>
    </row>
    <row r="26" spans="1:16" x14ac:dyDescent="0.25">
      <c r="A26" s="4" t="s">
        <v>23</v>
      </c>
      <c r="B26" s="9">
        <v>700</v>
      </c>
      <c r="C26" s="8"/>
      <c r="G26" s="18" t="s">
        <v>170</v>
      </c>
      <c r="H26" s="2">
        <f>SUM(H23:H25)/B3</f>
        <v>343.40713855421689</v>
      </c>
    </row>
    <row r="27" spans="1:16" x14ac:dyDescent="0.25">
      <c r="A27" s="4" t="s">
        <v>24</v>
      </c>
      <c r="B27" s="9">
        <v>58000</v>
      </c>
      <c r="C27" s="8"/>
      <c r="G27" s="18" t="s">
        <v>171</v>
      </c>
      <c r="H27" s="2">
        <f>SUM(H23:H25)</f>
        <v>28502.7925</v>
      </c>
    </row>
    <row r="28" spans="1:16" x14ac:dyDescent="0.25">
      <c r="A28" s="4"/>
      <c r="C28" s="8"/>
      <c r="G28" s="18" t="s">
        <v>174</v>
      </c>
      <c r="H28" s="2">
        <f>B43*B9</f>
        <v>33510</v>
      </c>
    </row>
    <row r="29" spans="1:16" x14ac:dyDescent="0.25">
      <c r="A29" s="19" t="s">
        <v>78</v>
      </c>
      <c r="B29" s="19"/>
      <c r="C29" s="19"/>
      <c r="G29" s="18" t="s">
        <v>175</v>
      </c>
      <c r="H29" s="2">
        <f>H27+H28-(2*20500)</f>
        <v>21012.792499999996</v>
      </c>
    </row>
    <row r="30" spans="1:16" x14ac:dyDescent="0.25">
      <c r="A30" t="s">
        <v>73</v>
      </c>
      <c r="B30">
        <f>B26*(B4+B5)/60</f>
        <v>350</v>
      </c>
      <c r="C30" s="8"/>
    </row>
    <row r="31" spans="1:16" x14ac:dyDescent="0.25">
      <c r="A31" t="s">
        <v>74</v>
      </c>
      <c r="B31">
        <f>(B3*B26/60)-B30</f>
        <v>618.33333333333337</v>
      </c>
    </row>
    <row r="32" spans="1:16" x14ac:dyDescent="0.25">
      <c r="A32" t="s">
        <v>76</v>
      </c>
      <c r="B32" s="9">
        <v>25</v>
      </c>
    </row>
    <row r="33" spans="1:9" x14ac:dyDescent="0.25">
      <c r="A33" t="s">
        <v>75</v>
      </c>
      <c r="B33">
        <f>B30/B32</f>
        <v>14</v>
      </c>
    </row>
    <row r="34" spans="1:9" x14ac:dyDescent="0.25">
      <c r="A34" t="s">
        <v>77</v>
      </c>
      <c r="B34" s="9">
        <v>4</v>
      </c>
    </row>
    <row r="35" spans="1:9" x14ac:dyDescent="0.25">
      <c r="A35" t="s">
        <v>79</v>
      </c>
      <c r="B35">
        <f>B33/B34</f>
        <v>3.5</v>
      </c>
      <c r="G35" s="49"/>
    </row>
    <row r="36" spans="1:9" x14ac:dyDescent="0.25">
      <c r="A36" t="s">
        <v>91</v>
      </c>
      <c r="B36" s="9">
        <v>2</v>
      </c>
    </row>
    <row r="37" spans="1:9" x14ac:dyDescent="0.25">
      <c r="A37" t="s">
        <v>184</v>
      </c>
      <c r="B37" s="9">
        <v>15</v>
      </c>
      <c r="H37" s="2"/>
      <c r="I37" s="2"/>
    </row>
    <row r="38" spans="1:9" x14ac:dyDescent="0.25">
      <c r="A38" t="s">
        <v>80</v>
      </c>
      <c r="B38">
        <f>B6*B26/60/B37</f>
        <v>36.555555555555557</v>
      </c>
    </row>
    <row r="39" spans="1:9" x14ac:dyDescent="0.25">
      <c r="A39" t="s">
        <v>82</v>
      </c>
      <c r="B39" s="9">
        <v>8</v>
      </c>
    </row>
    <row r="40" spans="1:9" x14ac:dyDescent="0.25">
      <c r="A40" t="s">
        <v>84</v>
      </c>
      <c r="B40" s="9">
        <v>12</v>
      </c>
    </row>
    <row r="41" spans="1:9" x14ac:dyDescent="0.25">
      <c r="A41" t="s">
        <v>83</v>
      </c>
      <c r="B41" s="9">
        <v>0</v>
      </c>
    </row>
    <row r="42" spans="1:9" x14ac:dyDescent="0.25">
      <c r="A42" t="s">
        <v>183</v>
      </c>
      <c r="B42">
        <f>B41+B40+B39+B38+B36</f>
        <v>58.555555555555557</v>
      </c>
    </row>
    <row r="43" spans="1:9" x14ac:dyDescent="0.25">
      <c r="A43" t="s">
        <v>173</v>
      </c>
      <c r="B43" s="39">
        <f>11170*1.5</f>
        <v>16755</v>
      </c>
    </row>
    <row r="45" spans="1:9" x14ac:dyDescent="0.25">
      <c r="A45" s="1" t="s">
        <v>27</v>
      </c>
    </row>
    <row r="46" spans="1:9" x14ac:dyDescent="0.25">
      <c r="A46" t="s">
        <v>28</v>
      </c>
    </row>
    <row r="47" spans="1:9" x14ac:dyDescent="0.25">
      <c r="A47" t="s">
        <v>29</v>
      </c>
    </row>
    <row r="48" spans="1:9" x14ac:dyDescent="0.25">
      <c r="A48" t="s">
        <v>30</v>
      </c>
    </row>
    <row r="49" spans="1:1" x14ac:dyDescent="0.25">
      <c r="A49" t="s">
        <v>31</v>
      </c>
    </row>
    <row r="50" spans="1:1" x14ac:dyDescent="0.25">
      <c r="A50" t="s">
        <v>32</v>
      </c>
    </row>
    <row r="51" spans="1:1" x14ac:dyDescent="0.25">
      <c r="A51" t="s">
        <v>41</v>
      </c>
    </row>
    <row r="52" spans="1:1" x14ac:dyDescent="0.25">
      <c r="A52" t="s">
        <v>62</v>
      </c>
    </row>
    <row r="53" spans="1:1" x14ac:dyDescent="0.25">
      <c r="A53" s="1" t="s">
        <v>34</v>
      </c>
    </row>
    <row r="54" spans="1:1" x14ac:dyDescent="0.25">
      <c r="A54" s="1" t="s">
        <v>33</v>
      </c>
    </row>
    <row r="55" spans="1:1" x14ac:dyDescent="0.25">
      <c r="A55" t="s">
        <v>42</v>
      </c>
    </row>
    <row r="56" spans="1:1" x14ac:dyDescent="0.25">
      <c r="A56" t="s">
        <v>39</v>
      </c>
    </row>
    <row r="59" spans="1:1" x14ac:dyDescent="0.25">
      <c r="A59" t="s">
        <v>60</v>
      </c>
    </row>
  </sheetData>
  <mergeCells count="17">
    <mergeCell ref="A1:D1"/>
    <mergeCell ref="G1:H1"/>
    <mergeCell ref="K2:L2"/>
    <mergeCell ref="K11:L11"/>
    <mergeCell ref="G19:G20"/>
    <mergeCell ref="G18:H18"/>
    <mergeCell ref="N2:P2"/>
    <mergeCell ref="K19:L19"/>
    <mergeCell ref="K22:L22"/>
    <mergeCell ref="K1:L1"/>
    <mergeCell ref="G8:H8"/>
    <mergeCell ref="G22:H22"/>
    <mergeCell ref="O3:P5"/>
    <mergeCell ref="O6:P9"/>
    <mergeCell ref="O12:P14"/>
    <mergeCell ref="O15:P18"/>
    <mergeCell ref="O20:P21"/>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A3" zoomScale="95" zoomScaleNormal="95" workbookViewId="0">
      <selection activeCell="V30" sqref="V30"/>
    </sheetView>
  </sheetViews>
  <sheetFormatPr defaultRowHeight="15" x14ac:dyDescent="0.25"/>
  <cols>
    <col min="1" max="1" width="9.140625" style="1"/>
    <col min="2" max="2" width="3.5703125" customWidth="1"/>
    <col min="3" max="3" width="3.5703125" bestFit="1" customWidth="1"/>
    <col min="4" max="4" width="4.42578125" bestFit="1" customWidth="1"/>
    <col min="5" max="5" width="3.5703125" bestFit="1" customWidth="1"/>
    <col min="6" max="6" width="4.42578125" bestFit="1" customWidth="1"/>
    <col min="7" max="7" width="3.5703125" bestFit="1" customWidth="1"/>
    <col min="8" max="8" width="4.42578125" bestFit="1" customWidth="1"/>
    <col min="9" max="9" width="3.5703125" bestFit="1" customWidth="1"/>
    <col min="10" max="10" width="4.28515625" customWidth="1"/>
    <col min="11" max="11" width="3.5703125" bestFit="1" customWidth="1"/>
    <col min="12" max="12" width="4.42578125" bestFit="1" customWidth="1"/>
    <col min="13" max="13" width="3.5703125" bestFit="1" customWidth="1"/>
    <col min="14" max="14" width="4.42578125" bestFit="1" customWidth="1"/>
    <col min="15" max="15" width="3.5703125" bestFit="1" customWidth="1"/>
    <col min="16" max="16" width="4.42578125" bestFit="1" customWidth="1"/>
    <col min="17" max="17" width="3.5703125" bestFit="1" customWidth="1"/>
    <col min="19" max="19" width="7.140625" customWidth="1"/>
    <col min="21" max="21" width="6.5703125" bestFit="1" customWidth="1"/>
    <col min="22" max="23" width="5" customWidth="1"/>
    <col min="24" max="24" width="9.140625" style="1"/>
    <col min="25" max="25" width="10.28515625" style="32" bestFit="1" customWidth="1"/>
  </cols>
  <sheetData>
    <row r="1" spans="1:27" ht="15" customHeight="1" x14ac:dyDescent="0.25">
      <c r="B1" s="47" t="s">
        <v>122</v>
      </c>
      <c r="C1" s="47"/>
      <c r="D1" s="46" t="s">
        <v>44</v>
      </c>
      <c r="E1" s="46"/>
      <c r="F1" s="47" t="s">
        <v>45</v>
      </c>
      <c r="G1" s="47"/>
      <c r="H1" s="46" t="s">
        <v>46</v>
      </c>
      <c r="I1" s="46"/>
      <c r="J1" s="47" t="s">
        <v>125</v>
      </c>
      <c r="K1" s="47"/>
      <c r="L1" s="46" t="s">
        <v>126</v>
      </c>
      <c r="M1" s="46"/>
      <c r="N1" s="47" t="s">
        <v>127</v>
      </c>
      <c r="O1" s="47"/>
      <c r="P1" s="46" t="s">
        <v>128</v>
      </c>
      <c r="Q1" s="46"/>
      <c r="R1" s="48" t="s">
        <v>129</v>
      </c>
      <c r="S1" s="48" t="s">
        <v>132</v>
      </c>
      <c r="T1" s="48" t="s">
        <v>133</v>
      </c>
      <c r="U1" t="s">
        <v>134</v>
      </c>
      <c r="V1">
        <v>12.5</v>
      </c>
      <c r="X1" s="1" t="s">
        <v>136</v>
      </c>
      <c r="Y1" s="33"/>
      <c r="Z1" s="1" t="s">
        <v>102</v>
      </c>
      <c r="AA1" s="35"/>
    </row>
    <row r="2" spans="1:27" x14ac:dyDescent="0.25">
      <c r="B2" s="22" t="s">
        <v>123</v>
      </c>
      <c r="C2" s="22" t="s">
        <v>124</v>
      </c>
      <c r="D2" s="22" t="s">
        <v>120</v>
      </c>
      <c r="E2" s="22" t="s">
        <v>121</v>
      </c>
      <c r="F2" s="22" t="s">
        <v>120</v>
      </c>
      <c r="G2" s="22" t="s">
        <v>121</v>
      </c>
      <c r="H2" s="22" t="s">
        <v>120</v>
      </c>
      <c r="I2" s="22" t="s">
        <v>121</v>
      </c>
      <c r="J2" s="22" t="s">
        <v>120</v>
      </c>
      <c r="K2" s="22" t="s">
        <v>121</v>
      </c>
      <c r="L2" s="22" t="s">
        <v>120</v>
      </c>
      <c r="M2" s="22" t="s">
        <v>121</v>
      </c>
      <c r="N2" s="22" t="s">
        <v>120</v>
      </c>
      <c r="O2" s="22" t="s">
        <v>121</v>
      </c>
      <c r="P2" s="22" t="s">
        <v>120</v>
      </c>
      <c r="Q2" s="22" t="s">
        <v>121</v>
      </c>
      <c r="R2" s="48"/>
      <c r="S2" s="48"/>
      <c r="T2" s="48"/>
      <c r="X2" s="1" t="s">
        <v>137</v>
      </c>
      <c r="Y2" s="35"/>
      <c r="Z2" s="1" t="s">
        <v>103</v>
      </c>
      <c r="AA2" s="35" t="s">
        <v>158</v>
      </c>
    </row>
    <row r="3" spans="1:27" x14ac:dyDescent="0.25">
      <c r="A3" s="1" t="s">
        <v>92</v>
      </c>
      <c r="B3" s="23">
        <v>400</v>
      </c>
      <c r="C3" s="23">
        <v>300</v>
      </c>
      <c r="D3" s="22"/>
      <c r="E3" s="22"/>
      <c r="F3" s="22"/>
      <c r="G3" s="22"/>
      <c r="H3" s="22"/>
      <c r="I3" s="22"/>
      <c r="J3" s="22"/>
      <c r="K3" s="22"/>
      <c r="L3" s="22"/>
      <c r="M3" s="22"/>
      <c r="N3" s="22"/>
      <c r="O3" s="22"/>
      <c r="P3" s="22"/>
      <c r="Q3" s="22"/>
      <c r="R3" s="28">
        <f>SUM(B3:Q3)</f>
        <v>700</v>
      </c>
      <c r="S3" s="29">
        <f>R3/60</f>
        <v>11.666666666666666</v>
      </c>
      <c r="T3" s="29">
        <f>S3-$V$1</f>
        <v>-0.83333333333333393</v>
      </c>
      <c r="X3" s="1" t="s">
        <v>138</v>
      </c>
      <c r="Y3" s="35" t="s">
        <v>158</v>
      </c>
      <c r="Z3" s="1" t="s">
        <v>104</v>
      </c>
      <c r="AA3" s="35"/>
    </row>
    <row r="4" spans="1:27" x14ac:dyDescent="0.25">
      <c r="A4" s="1" t="s">
        <v>93</v>
      </c>
      <c r="B4" s="23">
        <v>300</v>
      </c>
      <c r="C4" s="23">
        <v>400</v>
      </c>
      <c r="D4" s="27">
        <v>300</v>
      </c>
      <c r="E4" s="22"/>
      <c r="F4" s="22"/>
      <c r="G4" s="22"/>
      <c r="H4" s="22"/>
      <c r="I4" s="22"/>
      <c r="J4" s="22"/>
      <c r="K4" s="22"/>
      <c r="L4" s="22"/>
      <c r="M4" s="22"/>
      <c r="N4" s="22"/>
      <c r="O4" s="22"/>
      <c r="P4" s="22"/>
      <c r="Q4" s="22"/>
      <c r="R4" s="28">
        <f t="shared" ref="R4:R30" si="0">SUM(B4:Q4)</f>
        <v>1000</v>
      </c>
      <c r="S4" s="29">
        <f t="shared" ref="S4:S30" si="1">R4/60</f>
        <v>16.666666666666668</v>
      </c>
      <c r="T4" s="29">
        <f>S4-$V$1</f>
        <v>4.1666666666666679</v>
      </c>
      <c r="X4" s="1" t="s">
        <v>139</v>
      </c>
      <c r="Y4" s="35"/>
      <c r="Z4" s="1" t="s">
        <v>105</v>
      </c>
      <c r="AA4" s="35"/>
    </row>
    <row r="5" spans="1:27" x14ac:dyDescent="0.25">
      <c r="A5" s="1" t="s">
        <v>94</v>
      </c>
      <c r="B5" s="22"/>
      <c r="C5" s="22"/>
      <c r="D5" s="27">
        <v>300</v>
      </c>
      <c r="E5" s="27">
        <v>75</v>
      </c>
      <c r="F5" s="23">
        <v>300</v>
      </c>
      <c r="G5" s="22"/>
      <c r="H5" s="22"/>
      <c r="I5" s="22"/>
      <c r="J5" s="22"/>
      <c r="K5" s="22"/>
      <c r="L5" s="22"/>
      <c r="M5" s="22"/>
      <c r="N5" s="22"/>
      <c r="O5" s="22"/>
      <c r="P5" s="22"/>
      <c r="Q5" s="22"/>
      <c r="R5" s="28">
        <f>SUM(B5:Q5)</f>
        <v>675</v>
      </c>
      <c r="S5" s="29">
        <f t="shared" si="1"/>
        <v>11.25</v>
      </c>
      <c r="T5" s="29">
        <f t="shared" ref="T5:T30" si="2">S5-$V$1</f>
        <v>-1.25</v>
      </c>
      <c r="X5" s="1" t="s">
        <v>140</v>
      </c>
      <c r="Y5" s="35"/>
      <c r="Z5" s="1" t="s">
        <v>106</v>
      </c>
      <c r="AA5" s="35"/>
    </row>
    <row r="6" spans="1:27" x14ac:dyDescent="0.25">
      <c r="A6" s="1" t="s">
        <v>95</v>
      </c>
      <c r="B6" s="22"/>
      <c r="C6" s="22"/>
      <c r="D6" s="27">
        <v>300</v>
      </c>
      <c r="E6" s="27">
        <v>100</v>
      </c>
      <c r="F6" s="23">
        <v>300</v>
      </c>
      <c r="G6" s="23">
        <v>150</v>
      </c>
      <c r="H6" s="22"/>
      <c r="I6" s="22"/>
      <c r="J6" s="22"/>
      <c r="K6" s="22"/>
      <c r="L6" s="22"/>
      <c r="M6" s="22"/>
      <c r="N6" s="22"/>
      <c r="O6" s="22"/>
      <c r="P6" s="22"/>
      <c r="Q6" s="22"/>
      <c r="R6" s="28">
        <f t="shared" si="0"/>
        <v>850</v>
      </c>
      <c r="S6" s="29">
        <f t="shared" si="1"/>
        <v>14.166666666666666</v>
      </c>
      <c r="T6" s="29">
        <f t="shared" si="2"/>
        <v>1.6666666666666661</v>
      </c>
      <c r="X6" s="1" t="s">
        <v>141</v>
      </c>
      <c r="Y6" s="35"/>
      <c r="Z6" s="1" t="s">
        <v>107</v>
      </c>
      <c r="AA6" s="35"/>
    </row>
    <row r="7" spans="1:27" x14ac:dyDescent="0.25">
      <c r="A7" s="1" t="s">
        <v>96</v>
      </c>
      <c r="B7" s="24"/>
      <c r="C7" s="24"/>
      <c r="D7" s="24"/>
      <c r="E7" s="24"/>
      <c r="F7" s="24"/>
      <c r="G7" s="24"/>
      <c r="H7" s="24"/>
      <c r="I7" s="24"/>
      <c r="J7" s="24"/>
      <c r="K7" s="24"/>
      <c r="L7" s="24"/>
      <c r="M7" s="24"/>
      <c r="N7" s="24"/>
      <c r="O7" s="24"/>
      <c r="P7" s="24"/>
      <c r="Q7" s="24"/>
      <c r="R7" s="24"/>
      <c r="S7" s="24"/>
      <c r="T7" s="24"/>
      <c r="X7" s="1" t="s">
        <v>142</v>
      </c>
      <c r="Y7" s="34"/>
      <c r="Z7" s="1" t="s">
        <v>108</v>
      </c>
      <c r="AA7" s="35"/>
    </row>
    <row r="8" spans="1:27" x14ac:dyDescent="0.25">
      <c r="A8" s="1" t="s">
        <v>97</v>
      </c>
      <c r="B8" s="22"/>
      <c r="C8" s="22"/>
      <c r="D8" s="27">
        <v>300</v>
      </c>
      <c r="E8" s="27">
        <v>150</v>
      </c>
      <c r="F8" s="23">
        <v>300</v>
      </c>
      <c r="G8" s="23">
        <v>150</v>
      </c>
      <c r="H8" s="22"/>
      <c r="I8" s="22"/>
      <c r="J8" s="22"/>
      <c r="K8" s="22"/>
      <c r="L8" s="22"/>
      <c r="M8" s="22"/>
      <c r="N8" s="22"/>
      <c r="O8" s="22"/>
      <c r="P8" s="22"/>
      <c r="Q8" s="22"/>
      <c r="R8" s="28">
        <f t="shared" si="0"/>
        <v>900</v>
      </c>
      <c r="S8" s="29">
        <f t="shared" si="1"/>
        <v>15</v>
      </c>
      <c r="T8" s="29">
        <f t="shared" si="2"/>
        <v>2.5</v>
      </c>
      <c r="X8" s="1" t="s">
        <v>143</v>
      </c>
      <c r="Y8" s="34" t="s">
        <v>81</v>
      </c>
      <c r="Z8" s="1" t="s">
        <v>109</v>
      </c>
      <c r="AA8" s="35"/>
    </row>
    <row r="9" spans="1:27" x14ac:dyDescent="0.25">
      <c r="A9" s="1" t="s">
        <v>98</v>
      </c>
      <c r="B9" s="25"/>
      <c r="C9" s="25"/>
      <c r="D9" s="27">
        <v>300</v>
      </c>
      <c r="E9" s="27">
        <v>150</v>
      </c>
      <c r="F9" s="23">
        <v>300</v>
      </c>
      <c r="G9" s="23">
        <v>150</v>
      </c>
      <c r="H9" s="25"/>
      <c r="I9" s="25"/>
      <c r="J9" s="25"/>
      <c r="K9" s="25"/>
      <c r="L9" s="25"/>
      <c r="M9" s="25"/>
      <c r="N9" s="25"/>
      <c r="O9" s="25"/>
      <c r="P9" s="25"/>
      <c r="Q9" s="25"/>
      <c r="R9" s="28">
        <f t="shared" si="0"/>
        <v>900</v>
      </c>
      <c r="S9" s="29">
        <f t="shared" si="1"/>
        <v>15</v>
      </c>
      <c r="T9" s="29">
        <f t="shared" si="2"/>
        <v>2.5</v>
      </c>
      <c r="X9" s="1" t="s">
        <v>144</v>
      </c>
      <c r="Y9" s="34"/>
      <c r="Z9" s="1" t="s">
        <v>110</v>
      </c>
      <c r="AA9" s="35"/>
    </row>
    <row r="10" spans="1:27" x14ac:dyDescent="0.25">
      <c r="A10" s="1" t="s">
        <v>99</v>
      </c>
      <c r="B10" s="22"/>
      <c r="C10" s="22"/>
      <c r="D10" s="27">
        <v>300</v>
      </c>
      <c r="E10" s="27">
        <v>150</v>
      </c>
      <c r="F10" s="23">
        <v>300</v>
      </c>
      <c r="G10" s="23">
        <v>150</v>
      </c>
      <c r="H10" s="22"/>
      <c r="I10" s="22"/>
      <c r="J10" s="22"/>
      <c r="K10" s="22"/>
      <c r="L10" s="22"/>
      <c r="M10" s="22"/>
      <c r="N10" s="22"/>
      <c r="O10" s="22"/>
      <c r="P10" s="22"/>
      <c r="Q10" s="22"/>
      <c r="R10" s="28">
        <f t="shared" si="0"/>
        <v>900</v>
      </c>
      <c r="S10" s="29">
        <f t="shared" si="1"/>
        <v>15</v>
      </c>
      <c r="T10" s="29">
        <f t="shared" si="2"/>
        <v>2.5</v>
      </c>
      <c r="X10" s="1" t="s">
        <v>145</v>
      </c>
      <c r="Y10" s="34"/>
      <c r="Z10" s="1" t="s">
        <v>111</v>
      </c>
      <c r="AA10" s="35"/>
    </row>
    <row r="11" spans="1:27" x14ac:dyDescent="0.25">
      <c r="A11" s="1" t="s">
        <v>130</v>
      </c>
      <c r="B11" s="22"/>
      <c r="C11" s="22"/>
      <c r="D11" s="27">
        <v>300</v>
      </c>
      <c r="E11" s="27">
        <v>75</v>
      </c>
      <c r="F11" s="23">
        <v>300</v>
      </c>
      <c r="G11" s="23">
        <v>100</v>
      </c>
      <c r="H11" s="27">
        <v>100</v>
      </c>
      <c r="I11" s="22"/>
      <c r="J11" s="22"/>
      <c r="K11" s="22"/>
      <c r="L11" s="22"/>
      <c r="M11" s="22"/>
      <c r="N11" s="22"/>
      <c r="O11" s="22"/>
      <c r="P11" s="22"/>
      <c r="Q11" s="22"/>
      <c r="R11" s="31">
        <f t="shared" si="0"/>
        <v>875</v>
      </c>
      <c r="S11" s="29">
        <f t="shared" si="1"/>
        <v>14.583333333333334</v>
      </c>
      <c r="T11" s="29">
        <f t="shared" si="2"/>
        <v>2.0833333333333339</v>
      </c>
      <c r="X11" s="1" t="s">
        <v>146</v>
      </c>
      <c r="Y11" s="34"/>
      <c r="Z11" s="1" t="s">
        <v>131</v>
      </c>
      <c r="AA11" s="35"/>
    </row>
    <row r="12" spans="1:27" x14ac:dyDescent="0.25">
      <c r="A12" s="1" t="s">
        <v>100</v>
      </c>
      <c r="B12" s="22"/>
      <c r="C12" s="22"/>
      <c r="D12" s="26"/>
      <c r="E12" s="22"/>
      <c r="F12" s="23">
        <v>300</v>
      </c>
      <c r="H12" s="27">
        <v>200</v>
      </c>
      <c r="I12" s="22"/>
      <c r="J12" s="22"/>
      <c r="K12" s="22"/>
      <c r="L12" s="22"/>
      <c r="M12" s="22"/>
      <c r="N12" s="22"/>
      <c r="O12" s="22"/>
      <c r="P12" s="22"/>
      <c r="Q12" s="22"/>
      <c r="R12" s="30">
        <f t="shared" si="0"/>
        <v>500</v>
      </c>
      <c r="S12" s="29">
        <f t="shared" si="1"/>
        <v>8.3333333333333339</v>
      </c>
      <c r="T12" s="29">
        <f t="shared" si="2"/>
        <v>-4.1666666666666661</v>
      </c>
      <c r="X12" s="1" t="s">
        <v>147</v>
      </c>
      <c r="Y12" s="34"/>
      <c r="Z12" s="1" t="s">
        <v>112</v>
      </c>
      <c r="AA12" s="35"/>
    </row>
    <row r="13" spans="1:27" x14ac:dyDescent="0.25">
      <c r="A13" s="1" t="s">
        <v>101</v>
      </c>
      <c r="B13" s="22"/>
      <c r="C13" s="22"/>
      <c r="D13" s="22"/>
      <c r="E13" s="22"/>
      <c r="F13" s="26"/>
      <c r="H13" s="27">
        <v>300</v>
      </c>
      <c r="I13" s="22"/>
      <c r="J13" s="22"/>
      <c r="K13" s="22"/>
      <c r="L13" s="22"/>
      <c r="M13" s="22"/>
      <c r="N13" s="22"/>
      <c r="O13" s="22"/>
      <c r="P13" s="22"/>
      <c r="Q13" s="22"/>
      <c r="R13" s="30">
        <f t="shared" si="0"/>
        <v>300</v>
      </c>
      <c r="S13" s="29">
        <f t="shared" si="1"/>
        <v>5</v>
      </c>
      <c r="T13" s="29">
        <f t="shared" si="2"/>
        <v>-7.5</v>
      </c>
      <c r="X13" s="1" t="s">
        <v>148</v>
      </c>
      <c r="Y13" s="34"/>
      <c r="Z13" s="1" t="s">
        <v>113</v>
      </c>
      <c r="AA13" s="35"/>
    </row>
    <row r="14" spans="1:27" x14ac:dyDescent="0.25">
      <c r="A14" s="1" t="s">
        <v>102</v>
      </c>
      <c r="B14" s="22"/>
      <c r="C14" s="22"/>
      <c r="D14" s="22"/>
      <c r="E14" s="22"/>
      <c r="H14" s="27">
        <v>300</v>
      </c>
      <c r="I14" s="27">
        <v>150</v>
      </c>
      <c r="J14" s="23">
        <v>400</v>
      </c>
      <c r="K14" s="22"/>
      <c r="L14" s="27">
        <v>200</v>
      </c>
      <c r="M14" s="22"/>
      <c r="N14" s="22"/>
      <c r="O14" s="22"/>
      <c r="P14" s="22"/>
      <c r="Q14" s="22"/>
      <c r="R14" s="28">
        <f t="shared" si="0"/>
        <v>1050</v>
      </c>
      <c r="S14" s="29">
        <f t="shared" si="1"/>
        <v>17.5</v>
      </c>
      <c r="T14" s="29">
        <f t="shared" si="2"/>
        <v>5</v>
      </c>
      <c r="X14" s="1" t="s">
        <v>149</v>
      </c>
      <c r="Y14" s="34"/>
      <c r="Z14" s="1" t="s">
        <v>114</v>
      </c>
      <c r="AA14" s="35"/>
    </row>
    <row r="15" spans="1:27" x14ac:dyDescent="0.25">
      <c r="A15" s="1" t="s">
        <v>103</v>
      </c>
      <c r="B15" s="22"/>
      <c r="C15" s="22"/>
      <c r="D15" s="22"/>
      <c r="E15" s="22"/>
      <c r="H15" s="27">
        <v>300</v>
      </c>
      <c r="I15" s="27">
        <v>150</v>
      </c>
      <c r="J15" s="23">
        <v>300</v>
      </c>
      <c r="K15" s="23">
        <v>150</v>
      </c>
      <c r="L15" s="27">
        <v>200</v>
      </c>
      <c r="M15" s="27">
        <v>150</v>
      </c>
      <c r="N15" s="22"/>
      <c r="O15" s="22"/>
      <c r="P15" s="22"/>
      <c r="Q15" s="22"/>
      <c r="R15" s="28">
        <f t="shared" si="0"/>
        <v>1250</v>
      </c>
      <c r="S15" s="29">
        <f t="shared" si="1"/>
        <v>20.833333333333332</v>
      </c>
      <c r="T15" s="29">
        <f t="shared" si="2"/>
        <v>8.3333333333333321</v>
      </c>
      <c r="X15" s="1" t="s">
        <v>150</v>
      </c>
      <c r="Y15" s="35"/>
      <c r="Z15" s="1" t="s">
        <v>115</v>
      </c>
      <c r="AA15" s="35"/>
    </row>
    <row r="16" spans="1:27" x14ac:dyDescent="0.25">
      <c r="A16" s="1" t="s">
        <v>104</v>
      </c>
      <c r="B16" s="22"/>
      <c r="C16" s="22"/>
      <c r="D16" s="22"/>
      <c r="E16" s="22"/>
      <c r="G16" s="22"/>
      <c r="H16" s="27">
        <v>300</v>
      </c>
      <c r="I16" s="27">
        <v>150</v>
      </c>
      <c r="J16" s="23">
        <v>300</v>
      </c>
      <c r="K16" s="23">
        <v>150</v>
      </c>
      <c r="L16" s="27">
        <v>200</v>
      </c>
      <c r="M16" s="27">
        <v>150</v>
      </c>
      <c r="N16" s="22"/>
      <c r="O16" s="22"/>
      <c r="P16" s="22"/>
      <c r="Q16" s="22"/>
      <c r="R16" s="28">
        <f t="shared" si="0"/>
        <v>1250</v>
      </c>
      <c r="S16" s="29">
        <f t="shared" si="1"/>
        <v>20.833333333333332</v>
      </c>
      <c r="T16" s="29">
        <f t="shared" si="2"/>
        <v>8.3333333333333321</v>
      </c>
      <c r="X16" s="1" t="s">
        <v>151</v>
      </c>
      <c r="Y16" s="35" t="s">
        <v>158</v>
      </c>
      <c r="Z16" s="1" t="s">
        <v>116</v>
      </c>
      <c r="AA16" s="35"/>
    </row>
    <row r="17" spans="1:27" x14ac:dyDescent="0.25">
      <c r="A17" s="1" t="s">
        <v>105</v>
      </c>
      <c r="B17" s="22"/>
      <c r="C17" s="22"/>
      <c r="D17" s="22"/>
      <c r="E17" s="22"/>
      <c r="G17" s="22"/>
      <c r="H17" s="27">
        <v>300</v>
      </c>
      <c r="I17" s="27">
        <v>150</v>
      </c>
      <c r="J17" s="23">
        <v>300</v>
      </c>
      <c r="K17" s="23">
        <v>150</v>
      </c>
      <c r="L17" s="27">
        <v>300</v>
      </c>
      <c r="M17" s="27">
        <v>150</v>
      </c>
      <c r="N17" s="22"/>
      <c r="O17" s="22"/>
      <c r="P17" s="22"/>
      <c r="Q17" s="22"/>
      <c r="R17" s="28">
        <f t="shared" si="0"/>
        <v>1350</v>
      </c>
      <c r="S17" s="29">
        <f t="shared" si="1"/>
        <v>22.5</v>
      </c>
      <c r="T17" s="29">
        <f t="shared" si="2"/>
        <v>10</v>
      </c>
      <c r="X17" s="1" t="s">
        <v>152</v>
      </c>
      <c r="Y17" s="35"/>
      <c r="Z17" s="1" t="s">
        <v>117</v>
      </c>
      <c r="AA17" s="35"/>
    </row>
    <row r="18" spans="1:27" x14ac:dyDescent="0.25">
      <c r="A18" s="1" t="s">
        <v>106</v>
      </c>
      <c r="B18" s="24"/>
      <c r="C18" s="24"/>
      <c r="D18" s="24"/>
      <c r="E18" s="24"/>
      <c r="F18" s="24"/>
      <c r="G18" s="24"/>
      <c r="H18" s="24"/>
      <c r="I18" s="24"/>
      <c r="J18" s="24"/>
      <c r="K18" s="24"/>
      <c r="L18" s="24"/>
      <c r="M18" s="24"/>
      <c r="N18" s="24"/>
      <c r="O18" s="24"/>
      <c r="P18" s="24"/>
      <c r="Q18" s="24"/>
      <c r="R18" s="24"/>
      <c r="S18" s="24"/>
      <c r="T18" s="24"/>
      <c r="X18" s="1" t="s">
        <v>153</v>
      </c>
      <c r="Y18" s="35"/>
      <c r="Z18" s="1" t="s">
        <v>118</v>
      </c>
      <c r="AA18" s="35"/>
    </row>
    <row r="19" spans="1:27" x14ac:dyDescent="0.25">
      <c r="A19" s="1" t="s">
        <v>107</v>
      </c>
      <c r="B19" s="22"/>
      <c r="C19" s="22"/>
      <c r="D19" s="22"/>
      <c r="E19" s="22"/>
      <c r="F19" s="22"/>
      <c r="G19" s="22"/>
      <c r="H19" s="27">
        <v>300</v>
      </c>
      <c r="I19" s="27">
        <v>100</v>
      </c>
      <c r="J19" s="23">
        <v>300</v>
      </c>
      <c r="K19" s="23">
        <v>100</v>
      </c>
      <c r="L19" s="27">
        <v>300</v>
      </c>
      <c r="M19" s="22"/>
      <c r="N19" s="22"/>
      <c r="O19" s="22"/>
      <c r="P19" s="22"/>
      <c r="Q19" s="22"/>
      <c r="R19" s="31">
        <f t="shared" si="0"/>
        <v>1100</v>
      </c>
      <c r="S19" s="29">
        <f t="shared" si="1"/>
        <v>18.333333333333332</v>
      </c>
      <c r="T19" s="29">
        <f t="shared" si="2"/>
        <v>5.8333333333333321</v>
      </c>
      <c r="X19" s="1" t="s">
        <v>154</v>
      </c>
      <c r="Y19" s="35"/>
      <c r="Z19" s="1" t="s">
        <v>119</v>
      </c>
      <c r="AA19" s="35"/>
    </row>
    <row r="20" spans="1:27" x14ac:dyDescent="0.25">
      <c r="A20" s="1" t="s">
        <v>108</v>
      </c>
      <c r="B20" s="22"/>
      <c r="C20" s="22"/>
      <c r="D20" s="22"/>
      <c r="E20" s="22"/>
      <c r="F20" s="22"/>
      <c r="G20" s="22"/>
      <c r="H20" s="26"/>
      <c r="I20" s="22"/>
      <c r="J20" s="23">
        <v>300</v>
      </c>
      <c r="K20" s="23">
        <v>150</v>
      </c>
      <c r="L20" s="27">
        <v>100</v>
      </c>
      <c r="M20" s="22"/>
      <c r="N20" s="22"/>
      <c r="O20" s="22"/>
      <c r="P20" s="22"/>
      <c r="Q20" s="22"/>
      <c r="R20" s="30">
        <f t="shared" si="0"/>
        <v>550</v>
      </c>
      <c r="S20" s="29">
        <f t="shared" si="1"/>
        <v>9.1666666666666661</v>
      </c>
      <c r="T20" s="29">
        <f t="shared" si="2"/>
        <v>-3.3333333333333339</v>
      </c>
      <c r="X20" s="1" t="s">
        <v>155</v>
      </c>
      <c r="Y20" s="35"/>
      <c r="Z20" s="1" t="s">
        <v>136</v>
      </c>
      <c r="AA20" s="35"/>
    </row>
    <row r="21" spans="1:27" x14ac:dyDescent="0.25">
      <c r="A21" s="1" t="s">
        <v>109</v>
      </c>
      <c r="B21" s="22"/>
      <c r="C21" s="22"/>
      <c r="D21" s="22"/>
      <c r="E21" s="22"/>
      <c r="F21" s="22"/>
      <c r="G21" s="22"/>
      <c r="H21" s="22"/>
      <c r="I21" s="22"/>
      <c r="J21" s="23">
        <v>200</v>
      </c>
      <c r="K21" s="22"/>
      <c r="L21" s="27">
        <v>300</v>
      </c>
      <c r="M21" s="27">
        <v>150</v>
      </c>
      <c r="N21" s="23">
        <v>200</v>
      </c>
      <c r="P21" s="22"/>
      <c r="Q21" s="22"/>
      <c r="R21" s="31">
        <f t="shared" si="0"/>
        <v>850</v>
      </c>
      <c r="S21" s="29">
        <f t="shared" si="1"/>
        <v>14.166666666666666</v>
      </c>
      <c r="T21" s="29">
        <f t="shared" si="2"/>
        <v>1.6666666666666661</v>
      </c>
      <c r="X21" s="1" t="s">
        <v>156</v>
      </c>
      <c r="Y21" s="35"/>
      <c r="Z21" s="1" t="s">
        <v>137</v>
      </c>
      <c r="AA21" s="35"/>
    </row>
    <row r="22" spans="1:27" x14ac:dyDescent="0.25">
      <c r="A22" s="1" t="s">
        <v>110</v>
      </c>
      <c r="B22" s="22"/>
      <c r="C22" s="22"/>
      <c r="D22" s="22"/>
      <c r="E22" s="22"/>
      <c r="F22" s="22"/>
      <c r="G22" s="22"/>
      <c r="H22" s="22"/>
      <c r="I22" s="22"/>
      <c r="J22" s="26"/>
      <c r="K22" s="22"/>
      <c r="L22" s="27">
        <v>200</v>
      </c>
      <c r="M22" s="27">
        <v>100</v>
      </c>
      <c r="N22" s="23">
        <v>100</v>
      </c>
      <c r="O22" s="23">
        <v>100</v>
      </c>
      <c r="P22" s="22"/>
      <c r="Q22" s="22"/>
      <c r="R22" s="30">
        <f t="shared" si="0"/>
        <v>500</v>
      </c>
      <c r="S22" s="29">
        <f t="shared" si="1"/>
        <v>8.3333333333333339</v>
      </c>
      <c r="T22" s="29">
        <f t="shared" si="2"/>
        <v>-4.1666666666666661</v>
      </c>
      <c r="X22" s="1" t="s">
        <v>157</v>
      </c>
      <c r="Y22" s="34"/>
      <c r="Z22" s="1" t="s">
        <v>138</v>
      </c>
      <c r="AA22" s="35"/>
    </row>
    <row r="23" spans="1:27" x14ac:dyDescent="0.25">
      <c r="A23" s="1" t="s">
        <v>111</v>
      </c>
      <c r="B23" s="22"/>
      <c r="C23" s="22"/>
      <c r="D23" s="22"/>
      <c r="E23" s="22"/>
      <c r="F23" s="22"/>
      <c r="G23" s="22"/>
      <c r="H23" s="22"/>
      <c r="I23" s="22"/>
      <c r="K23" s="22"/>
      <c r="L23" s="27">
        <v>300</v>
      </c>
      <c r="M23" s="22"/>
      <c r="N23" s="23">
        <v>200</v>
      </c>
      <c r="O23" s="23">
        <v>100</v>
      </c>
      <c r="P23" s="27">
        <v>300</v>
      </c>
      <c r="Q23" s="22"/>
      <c r="R23" s="31">
        <f t="shared" si="0"/>
        <v>900</v>
      </c>
      <c r="S23" s="29">
        <f t="shared" si="1"/>
        <v>15</v>
      </c>
      <c r="T23" s="29">
        <f t="shared" si="2"/>
        <v>2.5</v>
      </c>
      <c r="X23" s="1" t="s">
        <v>92</v>
      </c>
      <c r="Y23" s="34" t="s">
        <v>72</v>
      </c>
      <c r="Z23" s="1" t="s">
        <v>139</v>
      </c>
      <c r="AA23" s="35"/>
    </row>
    <row r="24" spans="1:27" x14ac:dyDescent="0.25">
      <c r="A24" s="1" t="s">
        <v>131</v>
      </c>
      <c r="B24" s="22"/>
      <c r="C24" s="22"/>
      <c r="D24" s="22"/>
      <c r="E24" s="22"/>
      <c r="F24" s="22"/>
      <c r="G24" s="22"/>
      <c r="H24" s="22"/>
      <c r="I24" s="22"/>
      <c r="J24" s="22"/>
      <c r="K24" s="22"/>
      <c r="L24" s="26"/>
      <c r="M24" s="22"/>
      <c r="N24" s="23">
        <v>100</v>
      </c>
      <c r="O24" s="23">
        <v>100</v>
      </c>
      <c r="P24" s="27">
        <v>300</v>
      </c>
      <c r="Q24" s="27">
        <v>100</v>
      </c>
      <c r="R24" s="30">
        <f t="shared" si="0"/>
        <v>600</v>
      </c>
      <c r="S24" s="29">
        <f t="shared" si="1"/>
        <v>10</v>
      </c>
      <c r="T24" s="29">
        <f t="shared" si="2"/>
        <v>-2.5</v>
      </c>
      <c r="X24" s="1" t="s">
        <v>93</v>
      </c>
      <c r="Y24" s="34"/>
      <c r="Z24" s="1" t="s">
        <v>140</v>
      </c>
      <c r="AA24" s="35"/>
    </row>
    <row r="25" spans="1:27" x14ac:dyDescent="0.25">
      <c r="A25" s="1" t="s">
        <v>112</v>
      </c>
      <c r="B25" s="22"/>
      <c r="C25" s="22"/>
      <c r="D25" s="22"/>
      <c r="E25" s="22"/>
      <c r="F25" s="22"/>
      <c r="G25" s="22"/>
      <c r="H25" s="22"/>
      <c r="I25" s="22"/>
      <c r="J25" s="22"/>
      <c r="K25" s="22"/>
      <c r="L25" s="22"/>
      <c r="M25" s="22"/>
      <c r="N25" s="23">
        <v>300</v>
      </c>
      <c r="O25" s="23">
        <v>150</v>
      </c>
      <c r="P25" s="27">
        <v>300</v>
      </c>
      <c r="Q25" s="27">
        <v>100</v>
      </c>
      <c r="R25" s="28">
        <f t="shared" si="0"/>
        <v>850</v>
      </c>
      <c r="S25" s="29">
        <f t="shared" si="1"/>
        <v>14.166666666666666</v>
      </c>
      <c r="T25" s="29">
        <f t="shared" si="2"/>
        <v>1.6666666666666661</v>
      </c>
      <c r="X25" s="1" t="s">
        <v>94</v>
      </c>
      <c r="Y25" s="34"/>
      <c r="Z25" s="1" t="s">
        <v>141</v>
      </c>
      <c r="AA25" s="35"/>
    </row>
    <row r="26" spans="1:27" x14ac:dyDescent="0.25">
      <c r="A26" s="1" t="s">
        <v>113</v>
      </c>
      <c r="B26" s="22"/>
      <c r="C26" s="22"/>
      <c r="D26" s="22"/>
      <c r="E26" s="22"/>
      <c r="F26" s="22"/>
      <c r="G26" s="22"/>
      <c r="H26" s="22"/>
      <c r="I26" s="22"/>
      <c r="J26" s="22"/>
      <c r="K26" s="22"/>
      <c r="L26" s="22"/>
      <c r="M26" s="22"/>
      <c r="N26" s="23">
        <v>300</v>
      </c>
      <c r="O26" s="23">
        <v>150</v>
      </c>
      <c r="P26" s="27">
        <v>300</v>
      </c>
      <c r="Q26" s="27">
        <v>150</v>
      </c>
      <c r="R26" s="28">
        <f t="shared" si="0"/>
        <v>900</v>
      </c>
      <c r="S26" s="29">
        <f t="shared" si="1"/>
        <v>15</v>
      </c>
      <c r="T26" s="29">
        <f t="shared" si="2"/>
        <v>2.5</v>
      </c>
      <c r="X26" s="1" t="s">
        <v>95</v>
      </c>
      <c r="Y26" s="34"/>
      <c r="Z26" s="1" t="s">
        <v>142</v>
      </c>
      <c r="AA26" s="35"/>
    </row>
    <row r="27" spans="1:27" x14ac:dyDescent="0.25">
      <c r="A27" s="1" t="s">
        <v>114</v>
      </c>
      <c r="B27" s="22"/>
      <c r="C27" s="22"/>
      <c r="D27" s="22"/>
      <c r="E27" s="22"/>
      <c r="F27" s="22"/>
      <c r="G27" s="22"/>
      <c r="H27" s="22"/>
      <c r="I27" s="22"/>
      <c r="J27" s="22"/>
      <c r="K27" s="22"/>
      <c r="L27" s="22"/>
      <c r="M27" s="22"/>
      <c r="N27" s="23">
        <v>300</v>
      </c>
      <c r="O27" s="23">
        <v>100</v>
      </c>
      <c r="P27" s="27">
        <v>300</v>
      </c>
      <c r="Q27" s="27">
        <v>150</v>
      </c>
      <c r="R27" s="28">
        <f t="shared" si="0"/>
        <v>850</v>
      </c>
      <c r="S27" s="29">
        <f t="shared" si="1"/>
        <v>14.166666666666666</v>
      </c>
      <c r="T27" s="29">
        <f t="shared" si="2"/>
        <v>1.6666666666666661</v>
      </c>
      <c r="X27" s="1" t="s">
        <v>96</v>
      </c>
      <c r="Y27" s="34"/>
      <c r="Z27" s="1" t="s">
        <v>143</v>
      </c>
      <c r="AA27" s="34" t="s">
        <v>159</v>
      </c>
    </row>
    <row r="28" spans="1:27" x14ac:dyDescent="0.25">
      <c r="A28" s="1" t="s">
        <v>115</v>
      </c>
      <c r="B28" s="24"/>
      <c r="C28" s="24"/>
      <c r="D28" s="24"/>
      <c r="E28" s="24"/>
      <c r="F28" s="24"/>
      <c r="G28" s="24"/>
      <c r="H28" s="24"/>
      <c r="I28" s="24"/>
      <c r="J28" s="24"/>
      <c r="K28" s="24"/>
      <c r="L28" s="24"/>
      <c r="M28" s="24"/>
      <c r="N28" s="24"/>
      <c r="O28" s="24"/>
      <c r="P28" s="24"/>
      <c r="Q28" s="24"/>
      <c r="R28" s="24"/>
      <c r="S28" s="24"/>
      <c r="T28" s="24"/>
      <c r="X28" s="1" t="s">
        <v>97</v>
      </c>
      <c r="Y28" s="34"/>
    </row>
    <row r="29" spans="1:27" x14ac:dyDescent="0.25">
      <c r="A29" s="1" t="s">
        <v>116</v>
      </c>
      <c r="B29" s="22"/>
      <c r="C29" s="22"/>
      <c r="D29" s="22"/>
      <c r="E29" s="22"/>
      <c r="F29" s="22"/>
      <c r="G29" s="22"/>
      <c r="H29" s="22"/>
      <c r="I29" s="22"/>
      <c r="J29" s="22"/>
      <c r="K29" s="22"/>
      <c r="L29" s="22"/>
      <c r="M29" s="22"/>
      <c r="N29" s="23">
        <v>300</v>
      </c>
      <c r="O29" s="22"/>
      <c r="P29" s="27">
        <v>300</v>
      </c>
      <c r="Q29" s="27">
        <v>100</v>
      </c>
      <c r="R29" s="28">
        <f t="shared" si="0"/>
        <v>700</v>
      </c>
      <c r="S29" s="29">
        <f t="shared" si="1"/>
        <v>11.666666666666666</v>
      </c>
      <c r="T29" s="29">
        <f t="shared" si="2"/>
        <v>-0.83333333333333393</v>
      </c>
      <c r="X29" s="1" t="s">
        <v>98</v>
      </c>
      <c r="Y29" s="34"/>
    </row>
    <row r="30" spans="1:27" x14ac:dyDescent="0.25">
      <c r="A30" s="1" t="s">
        <v>117</v>
      </c>
      <c r="B30" s="22"/>
      <c r="C30" s="22"/>
      <c r="D30" s="22"/>
      <c r="E30" s="22"/>
      <c r="F30" s="22"/>
      <c r="G30" s="22"/>
      <c r="H30" s="22"/>
      <c r="I30" s="22"/>
      <c r="J30" s="22"/>
      <c r="K30" s="22"/>
      <c r="L30" s="22"/>
      <c r="M30" s="22"/>
      <c r="N30" s="23">
        <v>300</v>
      </c>
      <c r="O30" s="22"/>
      <c r="P30" s="27">
        <v>300</v>
      </c>
      <c r="Q30" s="27">
        <v>100</v>
      </c>
      <c r="R30" s="31">
        <f t="shared" si="0"/>
        <v>700</v>
      </c>
      <c r="S30" s="29">
        <f t="shared" si="1"/>
        <v>11.666666666666666</v>
      </c>
      <c r="T30" s="29">
        <f t="shared" si="2"/>
        <v>-0.83333333333333393</v>
      </c>
      <c r="X30" s="1" t="s">
        <v>99</v>
      </c>
      <c r="Y30" s="34"/>
    </row>
    <row r="31" spans="1:27" x14ac:dyDescent="0.25">
      <c r="A31" s="1" t="s">
        <v>118</v>
      </c>
      <c r="B31" s="22"/>
      <c r="C31" s="22"/>
      <c r="D31" s="22"/>
      <c r="E31" s="22"/>
      <c r="F31" s="22"/>
      <c r="G31" s="22"/>
      <c r="H31" s="22"/>
      <c r="I31" s="22"/>
      <c r="J31" s="22"/>
      <c r="K31" s="22"/>
      <c r="L31" s="22"/>
      <c r="M31" s="22"/>
      <c r="N31" s="26"/>
      <c r="O31" s="22"/>
      <c r="P31" s="26"/>
      <c r="Q31" s="22"/>
      <c r="R31" s="28"/>
      <c r="S31" s="29"/>
      <c r="T31" s="29"/>
      <c r="X31" s="1" t="s">
        <v>130</v>
      </c>
      <c r="Y31" s="34"/>
    </row>
    <row r="32" spans="1:27" x14ac:dyDescent="0.25">
      <c r="A32" s="1" t="s">
        <v>119</v>
      </c>
      <c r="B32" s="21"/>
      <c r="C32" s="21"/>
      <c r="D32" s="21"/>
      <c r="E32" s="21"/>
      <c r="F32" s="21"/>
      <c r="G32" s="21"/>
      <c r="H32" s="21"/>
      <c r="I32" s="21"/>
      <c r="J32" s="21"/>
      <c r="K32" s="21"/>
      <c r="L32" s="21"/>
      <c r="M32" s="21"/>
      <c r="N32" s="21"/>
      <c r="O32" s="21"/>
      <c r="P32" s="21"/>
      <c r="Q32" s="21"/>
      <c r="R32" s="24"/>
      <c r="S32" s="24"/>
      <c r="T32" s="24"/>
      <c r="X32" s="1" t="s">
        <v>100</v>
      </c>
      <c r="Y32" s="34"/>
    </row>
    <row r="33" spans="1:25" x14ac:dyDescent="0.25">
      <c r="A33" s="1" t="s">
        <v>135</v>
      </c>
      <c r="B33" s="28">
        <f t="shared" ref="B33:Q33" si="3">SUM(B3:B32)</f>
        <v>700</v>
      </c>
      <c r="C33" s="28">
        <f t="shared" si="3"/>
        <v>700</v>
      </c>
      <c r="D33" s="28">
        <f t="shared" si="3"/>
        <v>2100</v>
      </c>
      <c r="E33" s="28">
        <f t="shared" si="3"/>
        <v>700</v>
      </c>
      <c r="F33" s="28">
        <f t="shared" si="3"/>
        <v>2100</v>
      </c>
      <c r="G33" s="28">
        <f t="shared" si="3"/>
        <v>700</v>
      </c>
      <c r="H33" s="28">
        <f t="shared" si="3"/>
        <v>2100</v>
      </c>
      <c r="I33" s="28">
        <f t="shared" si="3"/>
        <v>700</v>
      </c>
      <c r="J33" s="28">
        <f t="shared" si="3"/>
        <v>2100</v>
      </c>
      <c r="K33" s="28">
        <f t="shared" si="3"/>
        <v>700</v>
      </c>
      <c r="L33" s="28">
        <f t="shared" si="3"/>
        <v>2100</v>
      </c>
      <c r="M33" s="28">
        <f t="shared" si="3"/>
        <v>700</v>
      </c>
      <c r="N33" s="28">
        <f t="shared" si="3"/>
        <v>2100</v>
      </c>
      <c r="O33" s="28">
        <f t="shared" si="3"/>
        <v>700</v>
      </c>
      <c r="P33" s="28">
        <f t="shared" si="3"/>
        <v>2100</v>
      </c>
      <c r="Q33" s="28">
        <f t="shared" si="3"/>
        <v>700</v>
      </c>
      <c r="R33" s="28"/>
      <c r="X33" s="1" t="s">
        <v>101</v>
      </c>
      <c r="Y33" s="34"/>
    </row>
    <row r="61" spans="25:25" x14ac:dyDescent="0.25">
      <c r="Y61"/>
    </row>
  </sheetData>
  <mergeCells count="11">
    <mergeCell ref="P1:Q1"/>
    <mergeCell ref="B1:C1"/>
    <mergeCell ref="R1:R2"/>
    <mergeCell ref="S1:S2"/>
    <mergeCell ref="T1:T2"/>
    <mergeCell ref="D1:E1"/>
    <mergeCell ref="F1:G1"/>
    <mergeCell ref="H1:I1"/>
    <mergeCell ref="J1:K1"/>
    <mergeCell ref="L1:M1"/>
    <mergeCell ref="N1:O1"/>
  </mergeCells>
  <conditionalFormatting sqref="T3:T6 T29:T31 T19:T27 T8:T17">
    <cfRule type="cellIs" dxfId="16" priority="17" operator="greaterThan">
      <formula>0</formula>
    </cfRule>
    <cfRule type="cellIs" dxfId="15" priority="18" operator="lessThan">
      <formula>0</formula>
    </cfRule>
  </conditionalFormatting>
  <conditionalFormatting sqref="B33:C33">
    <cfRule type="cellIs" dxfId="14" priority="16" operator="equal">
      <formula>700</formula>
    </cfRule>
  </conditionalFormatting>
  <conditionalFormatting sqref="E33">
    <cfRule type="cellIs" dxfId="13" priority="15" operator="equal">
      <formula>700</formula>
    </cfRule>
  </conditionalFormatting>
  <conditionalFormatting sqref="I33">
    <cfRule type="cellIs" dxfId="12" priority="14" operator="equal">
      <formula>700</formula>
    </cfRule>
  </conditionalFormatting>
  <conditionalFormatting sqref="K33">
    <cfRule type="cellIs" dxfId="11" priority="13" operator="equal">
      <formula>700</formula>
    </cfRule>
  </conditionalFormatting>
  <conditionalFormatting sqref="G33">
    <cfRule type="cellIs" dxfId="10" priority="12" operator="equal">
      <formula>700</formula>
    </cfRule>
  </conditionalFormatting>
  <conditionalFormatting sqref="M33">
    <cfRule type="cellIs" dxfId="9" priority="11" operator="equal">
      <formula>700</formula>
    </cfRule>
  </conditionalFormatting>
  <conditionalFormatting sqref="O33">
    <cfRule type="cellIs" dxfId="8" priority="9" operator="equal">
      <formula>700</formula>
    </cfRule>
  </conditionalFormatting>
  <conditionalFormatting sqref="D33">
    <cfRule type="cellIs" dxfId="7" priority="8" operator="equal">
      <formula>2100</formula>
    </cfRule>
  </conditionalFormatting>
  <conditionalFormatting sqref="F33">
    <cfRule type="cellIs" dxfId="6" priority="7" operator="equal">
      <formula>2100</formula>
    </cfRule>
  </conditionalFormatting>
  <conditionalFormatting sqref="H33">
    <cfRule type="cellIs" dxfId="5" priority="6" operator="equal">
      <formula>2100</formula>
    </cfRule>
  </conditionalFormatting>
  <conditionalFormatting sqref="J33">
    <cfRule type="cellIs" dxfId="4" priority="5" operator="equal">
      <formula>2100</formula>
    </cfRule>
  </conditionalFormatting>
  <conditionalFormatting sqref="N33">
    <cfRule type="cellIs" dxfId="3" priority="4" operator="equal">
      <formula>2100</formula>
    </cfRule>
  </conditionalFormatting>
  <conditionalFormatting sqref="L33">
    <cfRule type="cellIs" dxfId="2" priority="3" operator="equal">
      <formula>2100</formula>
    </cfRule>
  </conditionalFormatting>
  <conditionalFormatting sqref="P33">
    <cfRule type="cellIs" dxfId="1" priority="2" operator="equal">
      <formula>2100</formula>
    </cfRule>
  </conditionalFormatting>
  <conditionalFormatting sqref="Q33">
    <cfRule type="cellIs" dxfId="0" priority="1" operator="equal">
      <formula>700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3" sqref="B3"/>
    </sheetView>
  </sheetViews>
  <sheetFormatPr defaultRowHeight="15" x14ac:dyDescent="0.25"/>
  <cols>
    <col min="1" max="1" width="15" style="3" bestFit="1" customWidth="1"/>
    <col min="2" max="2" width="6" customWidth="1"/>
  </cols>
  <sheetData>
    <row r="1" spans="1:2" x14ac:dyDescent="0.25">
      <c r="A1" s="4" t="s">
        <v>63</v>
      </c>
      <c r="B1">
        <v>400</v>
      </c>
    </row>
    <row r="2" spans="1:2" x14ac:dyDescent="0.25">
      <c r="A2" s="4" t="s">
        <v>64</v>
      </c>
      <c r="B2">
        <v>16</v>
      </c>
    </row>
    <row r="3" spans="1:2" x14ac:dyDescent="0.25">
      <c r="A3" s="4" t="s">
        <v>65</v>
      </c>
      <c r="B3">
        <f>B2/4*5</f>
        <v>20</v>
      </c>
    </row>
    <row r="4" spans="1:2" x14ac:dyDescent="0.25">
      <c r="A4" s="4" t="s">
        <v>66</v>
      </c>
      <c r="B4" s="20">
        <f>B1/B3</f>
        <v>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Model</vt:lpstr>
      <vt:lpstr>Class Time</vt:lpstr>
      <vt:lpstr>Ratio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dc:creator>
  <cp:lastModifiedBy>mcentee</cp:lastModifiedBy>
  <dcterms:created xsi:type="dcterms:W3CDTF">2012-01-09T04:50:47Z</dcterms:created>
  <dcterms:modified xsi:type="dcterms:W3CDTF">2012-08-15T19:08:23Z</dcterms:modified>
</cp:coreProperties>
</file>